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105f2797c4f1f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Дашборд" sheetId="1" ns1:id="R534870a97a014f51"/>
    <x:sheet name="Периоды" sheetId="2" ns1:id="R477c7da93fbb4803"/>
    <x:sheet name="Товары" sheetId="3" ns1:id="Rfd1ef223e37747ec"/>
    <x:sheet name="ТОП-20" sheetId="4" ns1:id="R9593336f9025471a"/>
    <x:sheet name="ABC" sheetId="5" ns1:id="R3f098a1f85b34701"/>
    <x:sheet name="Безубыточность" sheetId="6" ns1:id="Racc4772d1a034221"/>
    <x:sheet name="Заказы" sheetId="7" ns1:id="R019159fed5e44c5c"/>
    <x:sheet name="Склад" sheetId="8" ns1:id="R7c332660bc8d4c61"/>
    <x:sheet name="Закупки" sheetId="9" ns1:id="Rc02bafb7f9e5464f"/>
    <x:sheet name="Деньги" sheetId="10" ns1:id="R2653a36f45ad4df9"/>
    <x:sheet name="Настройки" sheetId="11" ns1:id="R75ab206f498e4cf4"/>
    <x:sheet name="Инструкция" sheetId="12" ns1:id="R502c6fef904e474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.mm.yyyy"/>
    <x:numFmt numFmtId="201" formatCode="#,##0.00 &quot;₸&quot;;[Red](#,##0.00) &quot;₸&quot;;–"/>
    <x:numFmt numFmtId="202" formatCode="0.0%"/>
    <x:numFmt numFmtId="203" formatCode="0"/>
    <x:numFmt numFmtId="204" formatCode="mmm yyyy"/>
  </x:numFmts>
  <x:fonts count="7">
    <x:font>
      <x:sz val="11"/>
      <x:name val="Carlito"/>
    </x:font>
    <x:font>
      <x:sz val="10"/>
      <x:color rgb="FF172B49"/>
      <x:name val="Arial"/>
    </x:font>
    <x:font>
      <x:b/>
      <x:sz val="16"/>
      <x:color rgb="FF142B4C"/>
      <x:name val="Arial"/>
    </x:font>
    <x:font>
      <x:b/>
      <x:sz val="10"/>
      <x:color rgb="FFFFFFFF"/>
      <x:name val="Arial"/>
    </x:font>
    <x:font>
      <x:b/>
      <x:sz val="11"/>
      <x:color rgb="FFFFFFFF"/>
      <x:name val="Carlito"/>
    </x:font>
    <x:font>
      <x:sz val="10"/>
      <x:color rgb="FF245CC3"/>
      <x:name val="Arial"/>
    </x:font>
    <x:font>
      <x:b/>
      <x:sz val="16"/>
      <x:color rgb="FF13866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142B4C"/>
      </x:patternFill>
    </x:fill>
    <x:fill>
      <x:patternFill patternType="solid">
        <x:fgColor rgb="FFF5F8FC"/>
      </x:patternFill>
    </x:fill>
    <x:fill>
      <x:patternFill patternType="solid">
        <x:fgColor rgb="FFE7F5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1" fontId="5" fillId="4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  <x:xf numFmtId="202" fontId="5" fillId="4" borderId="0" xfId="0" applyNumberFormat="1" applyFont="1" applyFill="1" applyBorder="1"/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4" fontId="5" fillId="4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5" borderId="0" xfId="0" applyNumberFormat="1" applyFont="1" applyFill="1" applyBorder="1"/>
    <x:xf numFmtId="201" fontId="1" fillId="5" borderId="0" xfId="0" applyNumberFormat="1" applyFont="1" applyFill="1" applyBorder="1"/>
    <x:xf numFmtId="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/>
    <x:xf numFmtId="201" fontId="2" fillId="0" borderId="0" xfId="0" applyNumberFormat="1" applyFont="1" applyFill="1" applyBorder="1"/>
    <x:xf numFmtId="201" fontId="6" fillId="5" borderId="0" xfId="0" applyNumberFormat="1" applyFont="1" applyFill="1" applyBorder="1"/>
    <x:xf numFmtId="0" fontId="5" fillId="4" borderId="0" xfId="0" applyNumberFormat="1" applyFont="1" applyFill="1" applyBorder="1" applyProtection="1">
      <x:protection locked="0"/>
    </x:xf>
    <x:xf numFmtId="201" fontId="1" fillId="2" borderId="0" xfId="0" applyNumberFormat="1" applyFont="1" applyFill="1" applyBorder="1" applyProtection="1">
      <x:protection locked="0"/>
    </x:xf>
    <x:xf numFmtId="0" fontId="1" fillId="0" borderId="0" xfId="0" applyNumberFormat="1" applyFont="1" applyFill="1" applyBorder="1" applyProtection="1">
      <x:protection locked="0"/>
    </x:xf>
    <x:xf numFmtId="200" fontId="5" fillId="4" borderId="0" xfId="0" applyNumberFormat="1" applyFont="1" applyFill="1" applyBorder="1" applyProtection="1">
      <x:protection locked="0"/>
    </x:xf>
    <x:xf numFmtId="201" fontId="5" fillId="4" borderId="0" xfId="0" applyNumberFormat="1" applyFont="1" applyFill="1" applyBorder="1" applyProtection="1">
      <x:protection locked="0"/>
    </x:xf>
    <x:xf numFmtId="200" fontId="1" fillId="2" borderId="0" xfId="0" applyNumberFormat="1" applyFont="1" applyFill="1" applyBorder="1" applyProtection="1">
      <x:protection locked="0"/>
    </x:xf>
    <x:xf numFmtId="0" fontId="5" fillId="4" borderId="0" xfId="0" applyNumberFormat="1" applyFont="1" applyFill="1" applyBorder="1" applyProtection="1">
      <x:protection locked="0"/>
    </x:xf>
    <x:xf numFmtId="201" fontId="1" fillId="2" borderId="0" xfId="0" applyNumberFormat="1" applyFont="1" applyFill="1" applyBorder="1" applyProtection="1">
      <x:protection locked="0"/>
    </x:xf>
    <x:xf numFmtId="0" fontId="1" fillId="0" borderId="0" xfId="0" applyNumberFormat="1" applyFont="1" applyFill="1" applyBorder="1" applyProtection="1">
      <x:protection locked="0"/>
    </x:xf>
    <x:xf numFmtId="200" fontId="5" fillId="4" borderId="0" xfId="0" applyNumberFormat="1" applyFont="1" applyFill="1" applyBorder="1" applyProtection="1">
      <x:protection locked="0"/>
    </x:xf>
    <x:xf numFmtId="201" fontId="5" fillId="4" borderId="0" xfId="0" applyNumberFormat="1" applyFont="1" applyFill="1" applyBorder="1" applyProtection="1">
      <x:protection locked="0"/>
    </x:xf>
    <x:xf numFmtId="200" fontId="1" fillId="2" borderId="0" xfId="0" applyNumberFormat="1" applyFont="1" applyFill="1" applyBorder="1" applyProtection="1">
      <x:protection locked="0"/>
    </x:xf>
    <x:xf numFmtId="0" fontId="5" fillId="4" borderId="0" xfId="0" applyNumberFormat="1" applyFont="1" applyFill="1" applyBorder="1" applyProtection="1">
      <x:protection locked="0"/>
    </x:xf>
    <x:xf numFmtId="201" fontId="1" fillId="2" borderId="0" xfId="0" applyNumberFormat="1" applyFont="1" applyFill="1" applyBorder="1" applyProtection="1">
      <x:protection locked="0"/>
    </x:xf>
    <x:xf numFmtId="0" fontId="1" fillId="0" borderId="0" xfId="0" applyNumberFormat="1" applyFont="1" applyFill="1" applyBorder="1" applyProtection="1">
      <x:protection locked="0"/>
    </x:xf>
    <x:xf numFmtId="200" fontId="5" fillId="4" borderId="0" xfId="0" applyNumberFormat="1" applyFont="1" applyFill="1" applyBorder="1" applyProtection="1">
      <x:protection locked="0"/>
    </x:xf>
    <x:xf numFmtId="201" fontId="5" fillId="4" borderId="0" xfId="0" applyNumberFormat="1" applyFont="1" applyFill="1" applyBorder="1" applyProtection="1">
      <x:protection locked="0"/>
    </x:xf>
    <x:xf numFmtId="200" fontId="1" fillId="2" borderId="0" xfId="0" applyNumberFormat="1" applyFont="1" applyFill="1" applyBorder="1" applyProtection="1">
      <x:protection locked="0"/>
    </x:xf>
    <x:xf numFmtId="0" fontId="5" fillId="4" borderId="0" xfId="0" applyNumberFormat="1" applyFont="1" applyFill="1" applyBorder="1" applyProtection="1">
      <x:protection locked="0"/>
    </x:xf>
    <x:xf numFmtId="201" fontId="1" fillId="2" borderId="0" xfId="0" applyNumberFormat="1" applyFont="1" applyFill="1" applyBorder="1" applyProtection="1">
      <x:protection locked="0"/>
    </x:xf>
    <x:xf numFmtId="0" fontId="1" fillId="0" borderId="0" xfId="0" applyNumberFormat="1" applyFont="1" applyFill="1" applyBorder="1" applyProtection="1">
      <x:protection locked="0"/>
    </x:xf>
    <x:xf numFmtId="200" fontId="5" fillId="4" borderId="0" xfId="0" applyNumberFormat="1" applyFont="1" applyFill="1" applyBorder="1" applyProtection="1">
      <x:protection locked="0"/>
    </x:xf>
    <x:xf numFmtId="201" fontId="5" fillId="4" borderId="0" xfId="0" applyNumberFormat="1" applyFont="1" applyFill="1" applyBorder="1" applyProtection="1">
      <x:protection locked="0"/>
    </x:xf>
    <x:xf numFmtId="200" fontId="1" fillId="2" borderId="0" xfId="0" applyNumberFormat="1" applyFont="1" applyFill="1" applyBorder="1" applyProtection="1">
      <x:protection locked="0"/>
    </x:xf>
  </x:cellXfs>
  <x:cellStyles count="1">
    <x:cellStyle name="Normal" xfId="0"/>
  </x:cellStyles>
  <x:dxfs count="8">
    <x:dxf>
      <x:font>
        <x:color rgb="FFBD3445"/>
      </x:font>
      <x:fill>
        <x:patternFill patternType="solid">
          <x:bgColor rgb="FFFDECEE"/>
        </x:patternFill>
      </x:fill>
    </x:dxf>
    <x:dxf>
      <x:font>
        <x:color rgb="FF138665"/>
      </x:font>
      <x:fill>
        <x:patternFill patternType="solid">
          <x:bgColor rgb="FFE7F5EF"/>
        </x:patternFill>
      </x:fill>
    </x:dxf>
    <x:dxf>
      <x:font>
        <x:color rgb="FFBD3445"/>
      </x:font>
      <x:fill>
        <x:patternFill patternType="solid">
          <x:bgColor rgb="FFFDECEE"/>
        </x:patternFill>
      </x:fill>
    </x:dxf>
    <x:dxf>
      <x:font>
        <x:color rgb="FF138665"/>
      </x:font>
      <x:fill>
        <x:patternFill patternType="solid">
          <x:bgColor rgb="FFE7F5EF"/>
        </x:patternFill>
      </x:fill>
    </x:dxf>
    <x:dxf>
      <x:font>
        <x:color rgb="FFBD3445"/>
      </x:font>
      <x:fill>
        <x:patternFill patternType="solid">
          <x:bgColor rgb="FFFDECEE"/>
        </x:patternFill>
      </x:fill>
    </x:dxf>
    <x:dxf>
      <x:font>
        <x:color rgb="FF138665"/>
      </x:font>
      <x:fill>
        <x:patternFill patternType="solid">
          <x:bgColor rgb="FFE7F5EF"/>
        </x:patternFill>
      </x:fill>
    </x:dxf>
    <x:dxf>
      <x:font>
        <x:color rgb="FFBD3445"/>
      </x:font>
      <x:fill>
        <x:patternFill patternType="solid">
          <x:bgColor rgb="FFFDECEE"/>
        </x:patternFill>
      </x:fill>
    </x:dxf>
    <x:dxf>
      <x:font>
        <x:color rgb="FF138665"/>
      </x:font>
      <x:fill>
        <x:patternFill patternType="solid">
          <x:bgColor rgb="FFE7F5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bcd1df44c4b14" /><Relationship Type="http://schemas.openxmlformats.org/officeDocument/2006/relationships/theme" Target="/xl/theme/theme1.xml" Id="R06d11a8a9a75481b" /><Relationship Type="http://schemas.openxmlformats.org/officeDocument/2006/relationships/sharedStrings" Target="/xl/sharedStrings.xml" Id="Rb3a74efb34dd423e" /><Relationship Type="http://schemas.openxmlformats.org/officeDocument/2006/relationships/worksheet" Target="/xl/worksheets/sheet1.xml" Id="R534870a97a014f51" /><Relationship Type="http://schemas.openxmlformats.org/officeDocument/2006/relationships/worksheet" Target="/xl/worksheets/sheet2.xml" Id="R477c7da93fbb4803" /><Relationship Type="http://schemas.openxmlformats.org/officeDocument/2006/relationships/worksheet" Target="/xl/worksheets/sheet3.xml" Id="Rfd1ef223e37747ec" /><Relationship Type="http://schemas.openxmlformats.org/officeDocument/2006/relationships/worksheet" Target="/xl/worksheets/sheet4.xml" Id="R9593336f9025471a" /><Relationship Type="http://schemas.openxmlformats.org/officeDocument/2006/relationships/worksheet" Target="/xl/worksheets/sheet5.xml" Id="R3f098a1f85b34701" /><Relationship Type="http://schemas.openxmlformats.org/officeDocument/2006/relationships/worksheet" Target="/xl/worksheets/sheet6.xml" Id="Racc4772d1a034221" /><Relationship Type="http://schemas.openxmlformats.org/officeDocument/2006/relationships/worksheet" Target="/xl/worksheets/sheet7.xml" Id="R019159fed5e44c5c" /><Relationship Type="http://schemas.openxmlformats.org/officeDocument/2006/relationships/worksheet" Target="/xl/worksheets/sheet8.xml" Id="R7c332660bc8d4c61" /><Relationship Type="http://schemas.openxmlformats.org/officeDocument/2006/relationships/worksheet" Target="/xl/worksheets/sheet9.xml" Id="Rc02bafb7f9e5464f" /><Relationship Type="http://schemas.openxmlformats.org/officeDocument/2006/relationships/worksheet" Target="/xl/worksheets/sheet10.xml" Id="R2653a36f45ad4df9" /><Relationship Type="http://schemas.openxmlformats.org/officeDocument/2006/relationships/worksheet" Target="/xl/worksheets/sheet11.xml" Id="R75ab206f498e4cf4" /><Relationship Type="http://schemas.openxmlformats.org/officeDocument/2006/relationships/worksheet" Target="/xl/worksheets/sheet12.xml" Id="R502c6fef904e474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d5f77df0c204945" /><Relationship Type="http://schemas.openxmlformats.org/officeDocument/2006/relationships/chart" Target="/xl/drawings/charts/chart2.xml" Id="R718a13c13676498f" /><Relationship Type="http://schemas.openxmlformats.org/officeDocument/2006/relationships/chart" Target="/xl/drawings/charts/chart3.xml" Id="R47f8ac67d4e04286" /><Relationship Type="http://schemas.openxmlformats.org/officeDocument/2006/relationships/chart" Target="/xl/drawings/charts/chart4.xml" Id="R582fc5b182124cb8" /><Relationship Type="http://schemas.openxmlformats.org/officeDocument/2006/relationships/chart" Target="/xl/drawings/charts/chart5.xml" Id="R149e7c63614f433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Выручка и прибыль, ₸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Выручка</c:v>
          </c:tx>
          <c:spPr>
            <a:ln xmlns:a="http://schemas.openxmlformats.org/drawingml/2006/main" w="19050">
              <a:solidFill>
                <a:srgbClr val="2658A8"/>
              </a:solidFill>
            </a:ln>
          </c:spPr>
          <c:marker>
            <c:symbol val="none"/>
          </c:marker>
          <c:cat>
            <c:strRef>
              <c:f>'Периоды'!$J$5:$J$28</c:f>
              <c:strCache>
                <c:ptCount val="0"/>
              </c:strCache>
            </c:strRef>
          </c:cat>
          <c:val>
            <c:numRef>
              <c:f>'Периоды'!$B$5:$B$28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Чистая прибыль</c:v>
          </c:tx>
          <c:spPr>
            <a:ln xmlns:a="http://schemas.openxmlformats.org/drawingml/2006/main" w="19050">
              <a:solidFill>
                <a:srgbClr val="159570"/>
              </a:solidFill>
            </a:ln>
          </c:spPr>
          <c:marker>
            <c:symbol val="none"/>
          </c:marker>
          <c:cat>
            <c:strRef>
              <c:f>'Периоды'!$J$5:$J$28</c:f>
              <c:strCache>
                <c:ptCount val="0"/>
              </c:strCache>
            </c:strRef>
          </c:cat>
          <c:val>
            <c:numRef>
              <c:f>'Периоды'!$G$5:$G$28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Расходы, ₸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Себестоимость</c:v>
          </c:tx>
          <c:spPr>
            <a:ln xmlns:a="http://schemas.openxmlformats.org/drawingml/2006/main" w="19050">
              <a:solidFill>
                <a:srgbClr val="2658A8"/>
              </a:solidFill>
            </a:ln>
          </c:spPr>
          <c:marker>
            <c:symbol val="none"/>
          </c:marker>
          <c:cat>
            <c:strRef>
              <c:f>'Периоды'!$J$5:$J$28</c:f>
              <c:strCache>
                <c:ptCount val="0"/>
              </c:strCache>
            </c:strRef>
          </c:cat>
          <c:val>
            <c:numRef>
              <c:f>'Периоды'!$C$5:$C$28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Расходы заказов</c:v>
          </c:tx>
          <c:spPr>
            <a:ln xmlns:a="http://schemas.openxmlformats.org/drawingml/2006/main" w="19050">
              <a:solidFill>
                <a:srgbClr val="159570"/>
              </a:solidFill>
            </a:ln>
          </c:spPr>
          <c:marker>
            <c:symbol val="none"/>
          </c:marker>
          <c:cat>
            <c:strRef>
              <c:f>'Периоды'!$J$5:$J$28</c:f>
              <c:strCache>
                <c:ptCount val="0"/>
              </c:strCache>
            </c:strRef>
          </c:cat>
          <c:val>
            <c:numRef>
              <c:f>'Периоды'!$D$5:$D$28</c:f>
              <c:numCache>
                <c:formatCode>#,##0</c:formatCode>
                <c:ptCount val="0"/>
              </c:numCache>
            </c:numRef>
          </c:val>
          <c:smooth val="0"/>
        </c:ser>
        <c:ser>
          <c:idx val="2"/>
          <c:order val="2"/>
          <c:tx>
            <c:v>Общие расходы</c:v>
          </c:tx>
          <c:spPr>
            <a:ln xmlns:a="http://schemas.openxmlformats.org/drawingml/2006/main" w="19050">
              <a:solidFill>
                <a:srgbClr val="C87B43"/>
              </a:solidFill>
            </a:ln>
          </c:spPr>
          <c:marker>
            <c:symbol val="none"/>
          </c:marker>
          <c:cat>
            <c:strRef>
              <c:f>'Периоды'!$J$5:$J$28</c:f>
              <c:strCache>
                <c:ptCount val="0"/>
              </c:strCache>
            </c:strRef>
          </c:cat>
          <c:val>
            <c:numRef>
              <c:f>'Периоды'!$E$5:$E$28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Маржа по месяцам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Маржа</c:v>
          </c:tx>
          <c:spPr>
            <a:ln xmlns:a="http://schemas.openxmlformats.org/drawingml/2006/main" w="19050">
              <a:solidFill>
                <a:srgbClr val="2658A8"/>
              </a:solidFill>
            </a:ln>
          </c:spPr>
          <c:marker>
            <c:symbol val="none"/>
          </c:marker>
          <c:cat>
            <c:strRef>
              <c:f>'Периоды'!$J$5:$J$28</c:f>
              <c:strCache>
                <c:ptCount val="0"/>
              </c:strCache>
            </c:strRef>
          </c:cat>
          <c:val>
            <c:numRef>
              <c:f>'Периоды'!$H$5:$H$28</c:f>
              <c:numCache>
                <c:formatCode>0.0%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Структура затрат</a:t>
            </a:r>
          </a:p>
        </c:rich>
      </c:tx>
      <c:overlay val="0"/>
    </c:title>
    <c:plotArea>
      <c:doughnutChart>
        <c:ser>
          <c:idx val="0"/>
          <c:order val="0"/>
          <c:tx>
            <c:v>Series 1</c:v>
          </c:tx>
          <c:cat>
            <c:strRef>
              <c:f>'Дашборд'!$D$15:$D$20</c:f>
              <c:strCache>
                <c:ptCount val="0"/>
              </c:strCache>
            </c:strRef>
          </c:cat>
          <c:val>
            <c:numRef>
              <c:f>'Дашборд'!$E$15:$E$20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Выручка: первые 10 товаров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Выручка</c:v>
          </c:tx>
          <c:invertIfNegative val="0"/>
          <c:cat>
            <c:strRef>
              <c:f>'ABC'!$C$5:$C$14</c:f>
              <c:strCache>
                <c:ptCount val="0"/>
              </c:strCache>
            </c:strRef>
          </c:cat>
          <c:val>
            <c:numRef>
              <c:f>'ABC'!$D$5:$D$14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22</xdr:row>
      <xdr:rowOff>0</xdr:rowOff>
    </xdr:from>
    <xdr:to>
      <xdr:col>11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d5f77df0c204945"/>
        </a:graphicData>
      </a:graphic>
    </xdr:graphicFrame>
    <xdr:clientData/>
  </xdr:twoCellAnchor>
  <xdr:twoCellAnchor>
    <xdr:from>
      <xdr:col>3</xdr:col>
      <xdr:colOff>0</xdr:colOff>
      <xdr:row>38</xdr:row>
      <xdr:rowOff>0</xdr:rowOff>
    </xdr:from>
    <xdr:to>
      <xdr:col>11</xdr:col>
      <xdr:colOff>0</xdr:colOff>
      <xdr:row>53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18a13c13676498f"/>
        </a:graphicData>
      </a:graphic>
    </xdr:graphicFrame>
    <xdr:clientData/>
  </xdr:twoCellAnchor>
  <xdr:twoCellAnchor>
    <xdr:from>
      <xdr:col>3</xdr:col>
      <xdr:colOff>0</xdr:colOff>
      <xdr:row>54</xdr:row>
      <xdr:rowOff>0</xdr:rowOff>
    </xdr:from>
    <xdr:to>
      <xdr:col>11</xdr:col>
      <xdr:colOff>0</xdr:colOff>
      <xdr:row>69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7f8ac67d4e04286"/>
        </a:graphicData>
      </a:graphic>
    </xdr:graphicFrame>
    <xdr:clientData/>
  </xdr:twoCellAnchor>
  <xdr:twoCellAnchor>
    <xdr:from>
      <xdr:col>11</xdr:col>
      <xdr:colOff>0</xdr:colOff>
      <xdr:row>4</xdr:row>
      <xdr:rowOff>0</xdr:rowOff>
    </xdr:from>
    <xdr:to>
      <xdr:col>19</xdr:col>
      <xdr:colOff>0</xdr:colOff>
      <xdr:row>20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82fc5b182124cb8"/>
        </a:graphicData>
      </a:graphic>
    </xdr:graphicFrame>
    <xdr:clientData/>
  </xdr:twoCellAnchor>
  <xdr:twoCellAnchor>
    <xdr:from>
      <xdr:col>11</xdr:col>
      <xdr:colOff>0</xdr:colOff>
      <xdr:row>22</xdr:row>
      <xdr:rowOff>0</xdr:rowOff>
    </xdr:from>
    <xdr:to>
      <xdr:col>19</xdr:col>
      <xdr:colOff>0</xdr:colOff>
      <xdr:row>38</xdr:row>
      <xdr:rowOff>0</xdr:rowOff>
    </xdr:to>
    <xdr:graphicFrame macro="">
      <xdr:nvGraphicFramePr>
        <xdr:cNvPr id="5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49e7c63614f433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7" name="Months" displayName="Months" ref="A4:J28" headerRowCount="1" totalsRowCount="0" totalsRowShown="0">
  <x:autoFilter ref="A4:J28"/>
  <x:tableColumns count="10">
    <x:tableColumn id="1" name="Месяц">
      <x:calculatedColumnFormula>EDATE(DATE(YEAR('Настройки'!$B$5),MONTH('Настройки'!$B$5),1),-23)</x:calculatedColumnFormula>
    </x:tableColumn>
    <x:tableColumn id="2" name="Выручка">
      <x:calculatedColumnFormula>SUMIFS(Orders[Выручка],Orders[Дата],"&gt;="&amp;A5,Orders[Дата],"&lt;"&amp;(EOMONTH(A5,0)+1))</x:calculatedColumnFormula>
    </x:tableColumn>
    <x:tableColumn id="3" name="Себестоимость">
      <x:calculatedColumnFormula>SUMIFS(Orders[Себестоимость],Orders[Дата],"&gt;="&amp;A5,Orders[Дата],"&lt;"&amp;(EOMONTH(A5,0)+1))</x:calculatedColumnFormula>
    </x:tableColumn>
    <x:tableColumn id="4" name="Расходы заказов">
      <x:calculatedColumnFormula>SUMIFS(Orders[Комиссия],Orders[Дата],"&gt;="&amp;A5,Orders[Дата],"&lt;"&amp;(EOMONTH(A5,0)+1))+SUMIFS(Orders[Доставка],Orders[Дата],"&gt;="&amp;A5,Orders[Дата],"&lt;"&amp;(EOMONTH(A5,0)+1))+SUMIFS(Orders[Упаковка],Orders[Дата],"&gt;="&amp;A5,Orders[Дата],"&lt;"&amp;(EOMONTH(A5,0)+1))+SUMIFS(Orders[Реклама],Orders[Дата],"&gt;="&amp;A5,Orders[Дата],"&lt;"&amp;(EOMONTH(A5,0)+1))+SUMIFS(Orders[Прочее],Orders[Дата],"&gt;="&amp;A5,Orders[Дата],"&lt;"&amp;(EOMONTH(A5,0)+1))</x:calculatedColumnFormula>
    </x:tableColumn>
    <x:tableColumn id="5" name="Общие расходы">
      <x:calculatedColumnFormula>SUMIFS(Cash[Расход прибыли],Cash[Дата],"&gt;="&amp;A5,Cash[Дата],"&lt;"&amp;(EOMONTH(A5,0)+1))</x:calculatedColumnFormula>
    </x:tableColumn>
    <x:tableColumn id="6" name="Прочие доходы">
      <x:calculatedColumnFormula>SUMIFS(Cash[Доход прибыли],Cash[Дата],"&gt;="&amp;A5,Cash[Дата],"&lt;"&amp;(EOMONTH(A5,0)+1))</x:calculatedColumnFormula>
    </x:tableColumn>
    <x:tableColumn id="7" name="Чистая прибыль">
      <x:calculatedColumnFormula>B5-SUM(C5:E5)+F5</x:calculatedColumnFormula>
    </x:tableColumn>
    <x:tableColumn id="8" name="Маржа">
      <x:calculatedColumnFormula>IF(B5=0,"",G5/B5)</x:calculatedColumnFormula>
    </x:tableColumn>
    <x:tableColumn id="9" name="Заказы">
      <x:calculatedColumnFormula>SUMIFS(Orders[Первый номер],Orders[Дата],"&gt;="&amp;A5,Orders[Дата],"&lt;"&amp;(EOMONTH(A5,0)+1))</x:calculatedColumnFormula>
    </x:tableColumn>
    <x:tableColumn id="10" name="Подпись">
      <x:calculatedColumnFormula>MONTH(A5)&amp;"."&amp;YEAR(A5)</x:calculatedColumnFormula>
    </x:tableColumn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5" name="Products" displayName="Products" ref="A4:V104" headerRowCount="1" totalsRowCount="0" totalsRowShown="0">
  <x:autoFilter ref="A4:V104"/>
  <x:tableColumns count="22">
    <x:tableColumn id="1" name="SKU"/>
    <x:tableColumn id="2" name="Товар"/>
    <x:tableColumn id="3" name="Статус"/>
    <x:tableColumn id="4" name="Продажи шт.">
      <x:calculatedColumnFormula>IF(A5="","",SUMIFS(Orders[Продано шт.],Orders[Дата],"&gt;="&amp;'Настройки'!$B$4,Orders[Дата],"&lt;"&amp;('Настройки'!$B$5+1),Orders[SKU],A5))</x:calculatedColumnFormula>
    </x:tableColumn>
    <x:tableColumn id="5" name="Выручка">
      <x:calculatedColumnFormula>IF(A5="","",SUMIFS(Orders[Выручка],Orders[Дата],"&gt;="&amp;'Настройки'!$B$4,Orders[Дата],"&lt;"&amp;('Настройки'!$B$5+1),Orders[SKU],A5))</x:calculatedColumnFormula>
    </x:tableColumn>
    <x:tableColumn id="6" name="Себестоимость">
      <x:calculatedColumnFormula>IF(A5="","",SUMIFS(Orders[Себестоимость],Orders[Дата],"&gt;="&amp;'Настройки'!$B$4,Orders[Дата],"&lt;"&amp;('Настройки'!$B$5+1),Orders[SKU],A5))</x:calculatedColumnFormula>
    </x:tableColumn>
    <x:tableColumn id="7" name="Прибыль">
      <x:calculatedColumnFormula>IF(A5="","",SUMIFS(Orders[Прибыль],Orders[Дата],"&gt;="&amp;'Настройки'!$B$4,Orders[Дата],"&lt;"&amp;('Настройки'!$B$5+1),Orders[SKU],A5))</x:calculatedColumnFormula>
    </x:tableColumn>
    <x:tableColumn id="8" name="Убыток">
      <x:calculatedColumnFormula>IF(A5="","",MAX(0,-G5))</x:calculatedColumnFormula>
    </x:tableColumn>
    <x:tableColumn id="9" name="Маржа">
      <x:calculatedColumnFormula>IF(A5="","",IF(E5=0,"",G5/E5))</x:calculatedColumnFormula>
    </x:tableColumn>
    <x:tableColumn id="10" name="Наценка">
      <x:calculatedColumnFormula>IF(A5="","",IF(F5=0,"",(E5-F5)/F5))</x:calculatedColumnFormula>
    </x:tableColumn>
    <x:tableColumn id="11" name="Возвраты шт.">
      <x:calculatedColumnFormula>IF(A5="","",SUMIFS(Orders[Количество],Orders[Дата],"&gt;="&amp;'Настройки'!$B$4,Orders[Дата],"&lt;"&amp;('Настройки'!$B$5+1),Orders[SKU],A5,Orders[Статус],"Возврат"))</x:calculatedColumnFormula>
    </x:tableColumn>
    <x:tableColumn id="12" name="Отмены шт.">
      <x:calculatedColumnFormula>IF(A5="","",SUMIFS(Orders[Количество],Orders[Дата],"&gt;="&amp;'Настройки'!$B$4,Orders[Дата],"&lt;"&amp;('Настройки'!$B$5+1),Orders[SKU],A5,Orders[Статус],"Отменён"))</x:calculatedColumnFormula>
    </x:tableColumn>
    <x:tableColumn id="13" name="Средняя цена">
      <x:calculatedColumnFormula>IF(A5="","",IF(D5=0,"",E5/D5))</x:calculatedColumnFormula>
    </x:tableColumn>
    <x:tableColumn id="14" name="Рентабельность">
      <x:calculatedColumnFormula>IF(A5="","",IF(F5=0,"",G5/F5))</x:calculatedColumnFormula>
    </x:tableColumn>
    <x:tableColumn id="15" name="Остаток">
      <x:calculatedColumnFormula>IF(A5="","",SUMIFS(Stock[Остаток],Stock[SKU],A5))</x:calculatedColumnFormula>
    </x:tableColumn>
    <x:tableColumn id="16" name="Ранг выручки">
      <x:calculatedColumnFormula>IF(OR(A5="",E5=""),"",COUNTIFS(Products[Выручка],"&gt;"&amp;E5)+COUNTIFS($E$5:E5,E5,$A$5:A5,"&lt;&gt;"))</x:calculatedColumnFormula>
    </x:tableColumn>
    <x:tableColumn id="17" name="Ранг прибыли">
      <x:calculatedColumnFormula>IF(OR(A5="",G5=""),"",COUNTIFS(Products[Прибыль],"&gt;"&amp;G5)+COUNTIFS($G$5:G5,G5,$A$5:A5,"&lt;&gt;"))</x:calculatedColumnFormula>
    </x:tableColumn>
    <x:tableColumn id="18" name="Ранг маржи">
      <x:calculatedColumnFormula>IF(OR(A5="",I5=""),"",COUNTIFS(Products[Маржа],"&gt;"&amp;I5)+COUNTIFS($I$5:I5,I5,$A$5:A5,"&lt;&gt;"))</x:calculatedColumnFormula>
    </x:tableColumn>
    <x:tableColumn id="19" name="Ранг наценки">
      <x:calculatedColumnFormula>IF(OR(A5="",J5=""),"",COUNTIFS(Products[Наценка],"&gt;"&amp;J5)+COUNTIFS($J$5:J5,J5,$A$5:A5,"&lt;&gt;"))</x:calculatedColumnFormula>
    </x:tableColumn>
    <x:tableColumn id="20" name="Ранг убытка">
      <x:calculatedColumnFormula>IF(OR(A5="",H5&lt;=0),"",COUNTIFS(Products[Убыток],"&gt;"&amp;H5)+COUNTIFS($H$5:H5,H5,$A$5:A5,"&lt;&gt;"))</x:calculatedColumnFormula>
    </x:tableColumn>
    <x:tableColumn id="21" name="Ранг возвратов">
      <x:calculatedColumnFormula>IF(OR(A5="",K5&lt;=0),"",COUNTIFS(Products[Возвраты шт.],"&gt;"&amp;K5)+COUNTIFS($K$5:K5,K5,$A$5:A5,"&lt;&gt;"))</x:calculatedColumnFormula>
    </x:tableColumn>
    <x:tableColumn id="22" name="Ранг отмен">
      <x:calculatedColumnFormula>IF(OR(A5="",L5&lt;=0),"",COUNTIFS(Products[Отмены шт.],"&gt;"&amp;L5)+COUNTIFS($L$5:L5,L5,$A$5:A5,"&lt;&gt;"))</x:calculatedColumnFormula>
    </x:tableColumn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6" name="ABCData" displayName="ABCData" ref="A4:G104" headerRowCount="1" totalsRowCount="0" totalsRowShown="0">
  <x:autoFilter ref="A4:G104"/>
  <x:tableColumns count="7">
    <x:tableColumn id="1" name="Место">
      <x:calculatedColumnFormula>ROW()-4</x:calculatedColumnFormula>
    </x:tableColumn>
    <x:tableColumn id="2" name="SKU">
      <x:calculatedColumnFormula>_xlfn.IFNA(INDEX(Products[SKU],MATCH(A5,Products[Ранг выручки],0)),"")</x:calculatedColumnFormula>
    </x:tableColumn>
    <x:tableColumn id="3" name="Товар">
      <x:calculatedColumnFormula>IF(B5="","",INDEX(Products[Товар],MATCH(B5,Products[SKU],0)))</x:calculatedColumnFormula>
    </x:tableColumn>
    <x:tableColumn id="4" name="Выручка">
      <x:calculatedColumnFormula>IF(B5="","",INDEX(Products[Выручка],MATCH(B5,Products[SKU],0)))</x:calculatedColumnFormula>
    </x:tableColumn>
    <x:tableColumn id="5" name="Доля">
      <x:calculatedColumnFormula>IF(OR(B5="",SUM(Products[Выручка])=0),"",D5/SUM(Products[Выручка]))</x:calculatedColumnFormula>
    </x:tableColumn>
    <x:tableColumn id="6" name="Накопленная доля">
      <x:calculatedColumnFormula>IF(E5="","",SUM($E$5:E5))</x:calculatedColumnFormula>
    </x:tableColumn>
    <x:tableColumn id="7" name="Класс">
      <x:calculatedColumnFormula>IF(E5="","",IF(F5-E5&lt;0.8,"A",IF(F5-E5&lt;0.95,"B","C")))</x:calculatedColumnFormula>
    </x:tableColumn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1" name="Orders" displayName="Orders" ref="A4:AA204" headerRowCount="1" totalsRowCount="0" totalsRowShown="0">
  <x:autoFilter ref="A4:AA204"/>
  <x:tableColumns count="27">
    <x:tableColumn id="1" name="Дата"/>
    <x:tableColumn id="2" name="Номер"/>
    <x:tableColumn id="3" name="SKU"/>
    <x:tableColumn id="4" name="Товар">
      <x:calculatedColumnFormula>IF(C5="","",_xlfn.IFNA(INDEX(Products[Товар],MATCH(C5,Products[SKU],0)),"Нет SKU"))</x:calculatedColumnFormula>
    </x:tableColumn>
    <x:tableColumn id="5" name="Количество"/>
    <x:tableColumn id="6" name="Цена"/>
    <x:tableColumn id="7" name="Скидка за ед."/>
    <x:tableColumn id="8" name="Выручка">
      <x:calculatedColumnFormula>IF(C5="","",IF(S5="Выкуплен",E5*(F5-G5),0))</x:calculatedColumnFormula>
    </x:tableColumn>
    <x:tableColumn id="9" name="Себестоимость ед."/>
    <x:tableColumn id="10" name="Себестоимость">
      <x:calculatedColumnFormula>IF(C5="","",IF(S5="Выкуплен",E5*I5,IF(S5="Возврат",MAX(0,E5-U5)*I5,0)))</x:calculatedColumnFormula>
    </x:tableColumn>
    <x:tableColumn id="11" name="Комиссия"/>
    <x:tableColumn id="12" name="Доставка"/>
    <x:tableColumn id="13" name="Упаковка"/>
    <x:tableColumn id="14" name="Реклама"/>
    <x:tableColumn id="15" name="Прочее"/>
    <x:tableColumn id="16" name="Прибыль">
      <x:calculatedColumnFormula>IF(C5="","",H5-J5-SUM(K5:O5))</x:calculatedColumnFormula>
    </x:tableColumn>
    <x:tableColumn id="17" name="Маржа">
      <x:calculatedColumnFormula>IF(C5="","",IF(H5=0,"",P5/H5))</x:calculatedColumnFormula>
    </x:tableColumn>
    <x:tableColumn id="18" name="Наценка">
      <x:calculatedColumnFormula>IF(C5="","",IF(J5=0,"",(H5-J5)/J5))</x:calculatedColumnFormula>
    </x:tableColumn>
    <x:tableColumn id="19" name="Статус"/>
    <x:tableColumn id="20" name="Причина"/>
    <x:tableColumn id="21" name="Возврат на склад шт."/>
    <x:tableColumn id="22" name="Выбыло шт.">
      <x:calculatedColumnFormula>IF(C5="","",IF(OR(S5="Выкуплен",S5="Возврат"),E5,0))</x:calculatedColumnFormula>
    </x:tableColumn>
    <x:tableColumn id="23" name="Первый номер">
      <x:calculatedColumnFormula>IF(C5="","",IF(B5="",0,IF(COUNTIFS($B$5:B5,B5)=1,1,0)))</x:calculatedColumnFormula>
    </x:tableColumn>
    <x:tableColumn id="24" name="Выкуп заказ">
      <x:calculatedColumnFormula>IF(C5="","",IF(S5="Выкуплен",W5,0))</x:calculatedColumnFormula>
    </x:tableColumn>
    <x:tableColumn id="25" name="Отмена заказ">
      <x:calculatedColumnFormula>IF(C5="","",IF(S5="Отменён",W5,0))</x:calculatedColumnFormula>
    </x:tableColumn>
    <x:tableColumn id="26" name="Возврат заказ">
      <x:calculatedColumnFormula>IF(C5="","",IF(S5="Возврат",W5,0))</x:calculatedColumnFormula>
    </x:tableColumn>
    <x:tableColumn id="27" name="Продано шт.">
      <x:calculatedColumnFormula>IF(C5="","",IF(S5="Выкуплен",E5,0))</x:calculatedColumnFormula>
    </x:tableColumn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4" name="Stock" displayName="Stock" ref="A4:J104" headerRowCount="1" totalsRowCount="0" totalsRowShown="0">
  <x:autoFilter ref="A4:J104"/>
  <x:tableColumns count="10">
    <x:tableColumn id="1" name="SKU"/>
    <x:tableColumn id="2" name="Товар">
      <x:calculatedColumnFormula>IF(A5="","",_xlfn.IFNA(INDEX(Products[Товар],MATCH(A5,Products[SKU],0)),"Нет SKU"))</x:calculatedColumnFormula>
    </x:tableColumn>
    <x:tableColumn id="3" name="Начальный остаток"/>
    <x:tableColumn id="4" name="Поступление">
      <x:calculatedColumnFormula>IF(A5="","",SUMIFS(Purchases[Количество],Purchases[SKU],A5))</x:calculatedColumnFormula>
    </x:tableColumn>
    <x:tableColumn id="5" name="Выбыло">
      <x:calculatedColumnFormula>IF(A5="","",SUMIFS(Orders[Выбыло шт.],Orders[SKU],A5))</x:calculatedColumnFormula>
    </x:tableColumn>
    <x:tableColumn id="6" name="Возвраты на склад">
      <x:calculatedColumnFormula>IF(A5="","",SUMIFS(Orders[Возврат на склад шт.],Orders[SKU],A5,Orders[Статус],"Возврат"))</x:calculatedColumnFormula>
    </x:tableColumn>
    <x:tableColumn id="7" name="Списания"/>
    <x:tableColumn id="8" name="Остаток">
      <x:calculatedColumnFormula>IF(A5="","",C5+D5-E5+F5-G5)</x:calculatedColumnFormula>
    </x:tableColumn>
    <x:tableColumn id="9" name="Минимум"/>
    <x:tableColumn id="10" name="Закупка">
      <x:calculatedColumnFormula>IF(A5="","",IF(H5&lt;0,"Ошибка: минус",IF(H5&lt;=I5,"Закупить","Достаточно")))</x:calculatedColumnFormula>
    </x:tableColumn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2" name="Purchases" displayName="Purchases" ref="A4:L104" headerRowCount="1" totalsRowCount="0" totalsRowShown="0">
  <x:autoFilter ref="A4:L104"/>
  <x:tableColumns count="12">
    <x:tableColumn id="1" name="Дата"/>
    <x:tableColumn id="2" name="Поставщик"/>
    <x:tableColumn id="3" name="Товар"/>
    <x:tableColumn id="4" name="SKU"/>
    <x:tableColumn id="5" name="Количество"/>
    <x:tableColumn id="6" name="Цена валюты"/>
    <x:tableColumn id="7" name="Валюта"/>
    <x:tableColumn id="8" name="Курс к ₸"/>
    <x:tableColumn id="9" name="Карго партия"/>
    <x:tableColumn id="10" name="Упаковка партия"/>
    <x:tableColumn id="11" name="Себестоимость ед.">
      <x:calculatedColumnFormula>IF(OR(D5="",E5=0),"",L5/E5)</x:calculatedColumnFormula>
    </x:tableColumn>
    <x:tableColumn id="12" name="Сумма партии">
      <x:calculatedColumnFormula>IF(D5="","",E5*F5*H5+I5+J5)</x:calculatedColumnFormula>
    </x:tableColumn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3" name="Cash" displayName="Cash" ref="A4:L104" headerRowCount="1" totalsRowCount="0" totalsRowShown="0">
  <x:autoFilter ref="A4:L104"/>
  <x:tableColumns count="12">
    <x:tableColumn id="1" name="Дата"/>
    <x:tableColumn id="2" name="Тип"/>
    <x:tableColumn id="3" name="Категория"/>
    <x:tableColumn id="4" name="Описание"/>
    <x:tableColumn id="5" name="Сумма"/>
    <x:tableColumn id="6" name="Контрагент"/>
    <x:tableColumn id="7" name="Документ"/>
    <x:tableColumn id="8" name="Комментарий"/>
    <x:tableColumn id="9" name="Включать в прибыль"/>
    <x:tableColumn id="10" name="Доход прибыли">
      <x:calculatedColumnFormula>IF(AND(I5="Да",B5="Доход"),E5,0)</x:calculatedColumnFormula>
    </x:tableColumn>
    <x:tableColumn id="11" name="Расход прибыли">
      <x:calculatedColumnFormula>IF(AND(I5="Да",B5="Расход"),E5,0)</x:calculatedColumnFormula>
    </x:tableColumn>
    <x:tableColumn id="12" name="Денежный поток">
      <x:calculatedColumnFormula>IF(B5="Доход",E5,IF(B5="Расход",-E5,0))</x:calculatedColumnFormula>
    </x:tableColumn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24c0a795988446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0f6628d9b2d41f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1fac3fb14ec4f9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d821676dad914c2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c2601b051e60450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0677162564c348e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899d96a013fd4bf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7.xml" Id="R53a4c2ae050c4ac8" /></Relationships>
</file>

<file path=xl/worksheets/sheet1.xml><?xml version="1.0" encoding="utf-8"?>
<x:worksheet xmlns:ns1="http://schemas.openxmlformats.org/officeDocument/2006/relationships"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34" customHeight="1">
      <x:c r="A1" s="2" t="str">
        <x:v>AutoHome  /  Дашборд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8" customHeight="1">
      <x:c r="A4" s="7" t="str">
        <x:v>ПОКАЗАТЕЛЬ</x:v>
      </x:c>
      <x:c r="B4" s="7" t="str">
        <x:v>ЗА ПЕРИОД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5" customHeight="1">
      <x:c r="A5" s="1" t="str">
        <x:v>Выручка</x:v>
      </x:c>
      <x:c r="B5" s="31" t="n">
        <x:f>SUMIFS(Orders[Выручка],Orders[Дата],"&gt;="&amp;'Настройки'!$B$4,Orders[Дата],"&lt;"&amp;('Настройки'!$B$5+1))</x:f>
        <x:v>0</x:v>
      </x:c>
      <x:c r="C5" s="1"/>
      <x:c r="D5" s="1" t="str">
        <x:v>Предыдущий период: выручка</x:v>
      </x:c>
      <x:c r="E5" s="1"/>
      <x:c r="F5" s="1"/>
      <x:c r="G5" s="19" t="n">
        <x:f>SUMIFS(Orders[Выручка],Orders[Дата],"&gt;="&amp;'Настройки'!B6,Orders[Дата],"&lt;"&amp;('Настройки'!B7+1))</x:f>
        <x:v>0</x:v>
      </x:c>
      <x:c r="H5" s="19"/>
      <x:c r="I5" s="1"/>
      <x:c r="J5" s="1"/>
      <x:c r="K5" s="1"/>
      <x:c r="L5" s="1"/>
    </x:row>
    <x:row r="6" ht="25" customHeight="1">
      <x:c r="A6" s="1" t="str">
        <x:v>Себестоимость</x:v>
      </x:c>
      <x:c r="B6" s="19" t="n">
        <x:f>SUMIFS(Orders[Себестоимость],Orders[Дата],"&gt;="&amp;'Настройки'!$B$4,Orders[Дата],"&lt;"&amp;('Настройки'!$B$5+1))</x:f>
        <x:v>0</x:v>
      </x:c>
      <x:c r="C6" s="1"/>
      <x:c r="D6" s="1" t="str">
        <x:v>Изменение выручки</x:v>
      </x:c>
      <x:c r="E6" s="1"/>
      <x:c r="F6" s="1"/>
      <x:c r="G6" s="24" t="str">
        <x:f>IF(G5=0,"",B5/G5-1)</x:f>
      </x:c>
      <x:c r="H6" s="19"/>
      <x:c r="I6" s="1"/>
      <x:c r="J6" s="1"/>
      <x:c r="K6" s="1"/>
      <x:c r="L6" s="1"/>
    </x:row>
    <x:row r="7" ht="25" customHeight="1">
      <x:c r="A7" s="1" t="str">
        <x:v>Валовая прибыль</x:v>
      </x:c>
      <x:c r="B7" s="19" t="n">
        <x:f>B5-B6</x:f>
        <x:v>0</x:v>
      </x:c>
      <x:c r="C7" s="1"/>
      <x:c r="D7" s="1" t="str">
        <x:v>Предыдущий период: прибыль</x:v>
      </x:c>
      <x:c r="E7" s="1"/>
      <x:c r="F7" s="1"/>
      <x:c r="G7" s="19" t="n">
        <x:f>SUMIFS(Orders[Прибыль],Orders[Дата],"&gt;="&amp;'Настройки'!B6,Orders[Дата],"&lt;"&amp;('Настройки'!B7+1))-SUMIFS(Cash[Расход прибыли],Cash[Дата],"&gt;="&amp;'Настройки'!B6,Cash[Дата],"&lt;"&amp;('Настройки'!B7+1))+SUMIFS(Cash[Доход прибыли],Cash[Дата],"&gt;="&amp;'Настройки'!B6,Cash[Дата],"&lt;"&amp;('Настройки'!B7+1))</x:f>
        <x:v>0</x:v>
      </x:c>
      <x:c r="H7" s="19"/>
      <x:c r="I7" s="1"/>
      <x:c r="J7" s="1"/>
      <x:c r="K7" s="1"/>
      <x:c r="L7" s="1"/>
    </x:row>
    <x:row r="8" ht="25" customHeight="1">
      <x:c r="A8" s="1" t="str">
        <x:v>Комиссия Kaspi</x:v>
      </x:c>
      <x:c r="B8" s="19" t="n">
        <x:f>SUMIFS(Orders[Комиссия],Orders[Дата],"&gt;="&amp;'Настройки'!$B$4,Orders[Дата],"&lt;"&amp;('Настройки'!$B$5+1))</x:f>
        <x:v>0</x:v>
      </x:c>
      <x:c r="C8" s="1"/>
      <x:c r="D8" s="1" t="str">
        <x:v>Изменение прибыли, ₸</x:v>
      </x:c>
      <x:c r="E8" s="1"/>
      <x:c r="F8" s="1"/>
      <x:c r="G8" s="19" t="n">
        <x:f>B15-G7</x:f>
        <x:v>0</x:v>
      </x:c>
      <x:c r="H8" s="19"/>
      <x:c r="I8" s="1"/>
      <x:c r="J8" s="1"/>
      <x:c r="K8" s="1"/>
      <x:c r="L8" s="1"/>
    </x:row>
    <x:row r="9" ht="25" customHeight="1">
      <x:c r="A9" s="1" t="str">
        <x:v>Доставка</x:v>
      </x:c>
      <x:c r="B9" s="19" t="n">
        <x:f>SUMIFS(Orders[Доставка],Orders[Дата],"&gt;="&amp;'Настройки'!$B$4,Orders[Дата],"&lt;"&amp;('Настройки'!$B$5+1))</x:f>
        <x:v>0</x:v>
      </x:c>
      <x:c r="C9" s="1"/>
      <x:c r="D9" s="1"/>
      <x:c r="E9" s="1"/>
      <x:c r="F9" s="1"/>
      <x:c r="G9" s="19"/>
      <x:c r="H9" s="19"/>
      <x:c r="I9" s="1"/>
      <x:c r="J9" s="1"/>
      <x:c r="K9" s="1"/>
      <x:c r="L9" s="1"/>
    </x:row>
    <x:row r="10" ht="25" customHeight="1">
      <x:c r="A10" s="1" t="str">
        <x:v>Упаковка</x:v>
      </x:c>
      <x:c r="B10" s="19" t="n">
        <x:f>SUMIFS(Orders[Упаковка],Orders[Дата],"&gt;="&amp;'Настройки'!$B$4,Orders[Дата],"&lt;"&amp;('Настройки'!$B$5+1))</x:f>
        <x:v>0</x:v>
      </x:c>
      <x:c r="C10" s="1"/>
      <x:c r="D10" s="1" t="str">
        <x:v>Текущий месяц / прошлый, выручка</x:v>
      </x:c>
      <x:c r="E10" s="1"/>
      <x:c r="F10" s="1"/>
      <x:c r="G10" s="19" t="n">
        <x:f>'Периоды'!B28</x:f>
        <x:v>0</x:v>
      </x:c>
      <x:c r="H10" s="19" t="n">
        <x:f>'Периоды'!B27</x:f>
        <x:v>0</x:v>
      </x:c>
      <x:c r="I10" s="1"/>
      <x:c r="J10" s="1"/>
      <x:c r="K10" s="1"/>
      <x:c r="L10" s="1"/>
    </x:row>
    <x:row r="11" ht="25" customHeight="1">
      <x:c r="A11" s="1" t="str">
        <x:v>Реклама</x:v>
      </x:c>
      <x:c r="B11" s="19" t="n">
        <x:f>SUMIFS(Orders[Реклама],Orders[Дата],"&gt;="&amp;'Настройки'!$B$4,Orders[Дата],"&lt;"&amp;('Настройки'!$B$5+1))+SUMIFS(Cash[Расход прибыли],Cash[Дата],"&gt;="&amp;'Настройки'!$B$4,Cash[Дата],"&lt;"&amp;('Настройки'!$B$5+1),Cash[Категория],"Реклама")</x:f>
        <x:v>0</x:v>
      </x:c>
      <x:c r="C11" s="1"/>
      <x:c r="D11" s="1" t="str">
        <x:v>Текущий месяц / прошлый, прибыль</x:v>
      </x:c>
      <x:c r="E11" s="1"/>
      <x:c r="F11" s="1"/>
      <x:c r="G11" s="19" t="n">
        <x:f>'Периоды'!G28</x:f>
        <x:v>0</x:v>
      </x:c>
      <x:c r="H11" s="19" t="n">
        <x:f>'Периоды'!G27</x:f>
        <x:v>0</x:v>
      </x:c>
      <x:c r="I11" s="1"/>
      <x:c r="J11" s="1"/>
      <x:c r="K11" s="1"/>
      <x:c r="L11" s="1"/>
    </x:row>
    <x:row r="12" ht="25" customHeight="1">
      <x:c r="A12" s="1" t="str">
        <x:v>Прочие расходы</x:v>
      </x:c>
      <x:c r="B12" s="19" t="n">
        <x:f>SUMIFS(Orders[Прочее],Orders[Дата],"&gt;="&amp;'Настройки'!$B$4,Orders[Дата],"&lt;"&amp;('Настройки'!$B$5+1))</x:f>
        <x:v>0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5" customHeight="1">
      <x:c r="A13" s="1" t="str">
        <x:v>Общие расходы журнала</x:v>
      </x:c>
      <x:c r="B13" s="19" t="n">
        <x:f>SUMIFS(Cash[Расход прибыли],Cash[Дата],"&gt;="&amp;'Настройки'!$B$4,Cash[Дата],"&lt;"&amp;('Настройки'!$B$5+1))</x:f>
        <x:v>0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5" customHeight="1">
      <x:c r="A14" s="1" t="str">
        <x:v>Прочие доходы</x:v>
      </x:c>
      <x:c r="B14" s="19" t="n">
        <x:f>SUMIFS(Cash[Доход прибыли],Cash[Дата],"&gt;="&amp;'Настройки'!$B$4,Cash[Дата],"&lt;"&amp;('Настройки'!$B$5+1))</x:f>
        <x:v>0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5" customHeight="1">
      <x:c r="A15" s="26" t="str">
        <x:v>Чистая прибыль</x:v>
      </x:c>
      <x:c r="B15" s="32" t="n">
        <x:f>SUMIFS(Orders[Прибыль],Orders[Дата],"&gt;="&amp;'Настройки'!$B$4,Orders[Дата],"&lt;"&amp;('Настройки'!$B$5+1))-B13+B14</x:f>
        <x:v>0</x:v>
      </x:c>
      <x:c r="C15" s="1"/>
      <x:c r="D15" s="1" t="str">
        <x:v>Себестоимость</x:v>
      </x:c>
      <x:c r="E15" s="19" t="n">
        <x:f>B6</x:f>
        <x:v>0</x:v>
      </x:c>
      <x:c r="F15" s="24" t="str">
        <x:f>IF(SUM($E$15:$E$20)=0,"",E15/SUM($E$15:$E$20))</x:f>
      </x:c>
      <x:c r="G15" s="1"/>
      <x:c r="H15" s="1"/>
      <x:c r="I15" s="1"/>
      <x:c r="J15" s="1"/>
      <x:c r="K15" s="1"/>
      <x:c r="L15" s="1"/>
    </x:row>
    <x:row r="16" ht="25" customHeight="1">
      <x:c r="A16" s="1" t="str">
        <x:v>Маржа</x:v>
      </x:c>
      <x:c r="B16" s="24" t="str">
        <x:f>IF(B5=0,"",B15/B5)</x:f>
      </x:c>
      <x:c r="C16" s="1"/>
      <x:c r="D16" s="1" t="str">
        <x:v>Комиссия</x:v>
      </x:c>
      <x:c r="E16" s="19" t="n">
        <x:f>B8</x:f>
        <x:v>0</x:v>
      </x:c>
      <x:c r="F16" s="24" t="str">
        <x:f>IF(SUM($E$15:$E$20)=0,"",E16/SUM($E$15:$E$20))</x:f>
      </x:c>
      <x:c r="G16" s="1"/>
      <x:c r="H16" s="1"/>
      <x:c r="I16" s="1"/>
      <x:c r="J16" s="1"/>
      <x:c r="K16" s="1"/>
      <x:c r="L16" s="1"/>
    </x:row>
    <x:row r="17" ht="25" customHeight="1">
      <x:c r="A17" s="1" t="str">
        <x:v>Наценка</x:v>
      </x:c>
      <x:c r="B17" s="24" t="str">
        <x:f>IF(B6=0,"",B7/B6)</x:f>
      </x:c>
      <x:c r="C17" s="1"/>
      <x:c r="D17" s="1" t="str">
        <x:v>Доставка</x:v>
      </x:c>
      <x:c r="E17" s="19" t="n">
        <x:f>B9</x:f>
        <x:v>0</x:v>
      </x:c>
      <x:c r="F17" s="24" t="str">
        <x:f>IF(SUM($E$15:$E$20)=0,"",E17/SUM($E$15:$E$20))</x:f>
      </x:c>
      <x:c r="G17" s="1"/>
      <x:c r="H17" s="1"/>
      <x:c r="I17" s="1"/>
      <x:c r="J17" s="1"/>
      <x:c r="K17" s="1"/>
      <x:c r="L17" s="1"/>
    </x:row>
    <x:row r="18" ht="25" customHeight="1">
      <x:c r="A18" s="1" t="str">
        <x:v>Заказы</x:v>
      </x:c>
      <x:c r="B18" s="25" t="n">
        <x:f>SUMIFS(Orders[Первый номер],Orders[Дата],"&gt;="&amp;'Настройки'!$B$4,Orders[Дата],"&lt;"&amp;('Настройки'!$B$5+1))</x:f>
        <x:v>0</x:v>
      </x:c>
      <x:c r="C18" s="1"/>
      <x:c r="D18" s="1" t="str">
        <x:v>Упаковка</x:v>
      </x:c>
      <x:c r="E18" s="19" t="n">
        <x:f>B10</x:f>
        <x:v>0</x:v>
      </x:c>
      <x:c r="F18" s="24" t="str">
        <x:f>IF(SUM($E$15:$E$20)=0,"",E18/SUM($E$15:$E$20))</x:f>
      </x:c>
      <x:c r="G18" s="1"/>
      <x:c r="H18" s="1"/>
      <x:c r="I18" s="1"/>
      <x:c r="J18" s="1"/>
      <x:c r="K18" s="1"/>
      <x:c r="L18" s="1"/>
    </x:row>
    <x:row r="19" ht="25" customHeight="1">
      <x:c r="A19" s="1" t="str">
        <x:v>Выкуплено заказов</x:v>
      </x:c>
      <x:c r="B19" s="25" t="n">
        <x:f>SUMIFS(Orders[Выкуп заказ],Orders[Дата],"&gt;="&amp;'Настройки'!$B$4,Orders[Дата],"&lt;"&amp;('Настройки'!$B$5+1))</x:f>
        <x:v>0</x:v>
      </x:c>
      <x:c r="C19" s="1"/>
      <x:c r="D19" s="1" t="str">
        <x:v>Реклама заказов</x:v>
      </x:c>
      <x:c r="E19" s="19" t="n">
        <x:f>SUMIFS(Orders[Реклама],Orders[Дата],"&gt;="&amp;'Настройки'!$B$4,Orders[Дата],"&lt;"&amp;('Настройки'!$B$5+1))</x:f>
        <x:v>0</x:v>
      </x:c>
      <x:c r="F19" s="24" t="str">
        <x:f>IF(SUM($E$15:$E$20)=0,"",E19/SUM($E$15:$E$20))</x:f>
      </x:c>
      <x:c r="G19" s="1"/>
      <x:c r="H19" s="1"/>
      <x:c r="I19" s="1"/>
      <x:c r="J19" s="1"/>
      <x:c r="K19" s="1"/>
      <x:c r="L19" s="1"/>
    </x:row>
    <x:row r="20" ht="25" customHeight="1">
      <x:c r="A20" s="1" t="str">
        <x:v>Отменено заказов</x:v>
      </x:c>
      <x:c r="B20" s="25" t="n">
        <x:f>SUMIFS(Orders[Отмена заказ],Orders[Дата],"&gt;="&amp;'Настройки'!$B$4,Orders[Дата],"&lt;"&amp;('Настройки'!$B$5+1))</x:f>
        <x:v>0</x:v>
      </x:c>
      <x:c r="C20" s="1"/>
      <x:c r="D20" s="1" t="str">
        <x:v>Прочие и общие</x:v>
      </x:c>
      <x:c r="E20" s="19" t="n">
        <x:f>B12+B13</x:f>
        <x:v>0</x:v>
      </x:c>
      <x:c r="F20" s="24" t="str">
        <x:f>IF(SUM($E$15:$E$20)=0,"",E20/SUM($E$15:$E$20))</x:f>
      </x:c>
      <x:c r="G20" s="1"/>
      <x:c r="H20" s="1"/>
      <x:c r="I20" s="1"/>
      <x:c r="J20" s="1"/>
      <x:c r="K20" s="1"/>
      <x:c r="L20" s="1"/>
    </x:row>
    <x:row r="21" ht="25" customHeight="1">
      <x:c r="A21" s="1" t="str">
        <x:v>Возвращено заказов</x:v>
      </x:c>
      <x:c r="B21" s="25" t="n">
        <x:f>SUMIFS(Orders[Возврат заказ],Orders[Дата],"&gt;="&amp;'Настройки'!$B$4,Orders[Дата],"&lt;"&amp;('Настройки'!$B$5+1))</x:f>
        <x:v>0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5" customHeight="1">
      <x:c r="A22" s="1" t="str">
        <x:v>Средний чек</x:v>
      </x:c>
      <x:c r="B22" s="19" t="str">
        <x:f>IF(B19=0,"",B5/B19)</x:f>
      </x:c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5" customHeight="1">
      <x:c r="A23" s="1" t="str">
        <x:v>Доля возвратов</x:v>
      </x:c>
      <x:c r="B23" s="24" t="str">
        <x:f>IF(B18=0,"",B21/B18)</x:f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5" customHeight="1">
      <x:c r="A24" s="1" t="str">
        <x:v>Доля отмен</x:v>
      </x:c>
      <x:c r="B24" s="24" t="str">
        <x:f>IF(B18=0,"",B20/B18)</x:f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5" customHeight="1">
      <x:c r="A25" s="1" t="str">
        <x:v>Продано единиц</x:v>
      </x:c>
      <x:c r="B25" s="25" t="n">
        <x:f>SUMIFS(Orders[Продано шт.],Orders[Дата],"&gt;="&amp;'Настройки'!$B$4,Orders[Дата],"&lt;"&amp;('Настройки'!$B$5+1))</x:f>
        <x:v>0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5" customHeight="1">
      <x:c r="A26" s="1"/>
      <x:c r="B26" s="19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5" customHeight="1">
      <x:c r="A27" s="1"/>
      <x:c r="B27" s="19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5" customHeight="1">
      <x:c r="A28" s="1"/>
      <x:c r="B28" s="19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5" customHeight="1">
      <x:c r="A29" s="1"/>
      <x:c r="B29" s="19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sheetProtection sheet="1" objects="1" scenarios="1" autoFilter="0" sort="0" selectLockedCells="0" selectUnlockedCells="0"/>
  <x:mergeCells>
    <x:mergeCell ref="A1:L1"/>
    <x:mergeCell ref="A2:L2"/>
  </x:mergeCells>
  <x:conditionalFormatting sqref="B15:B15">
    <x:cfRule type="cellIs" dxfId="6" priority="1" operator="lessThan">
      <x:formula>0</x:formula>
    </x:cfRule>
    <x:cfRule type="cellIs" dxfId="7" priority="2" operator="greaterThan">
      <x:formula>0</x:formula>
    </x:cfRule>
  </x:conditionalFormatting>
  <x:pageMargins left="0.7" right="0.7" top="0.75" bottom="0.75" header="0.3" footer="0.3"/>
  <x:drawing ns1:id="Rd24c0a7959884461"/>
</x:worksheet>
</file>

<file path=xl/worksheets/sheet2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34" customHeight="1">
      <x:c r="A1" s="2" t="str">
        <x:v>AutoHome  /  Периоды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56" customHeight="1">
      <x:c r="A4" s="9" t="str">
        <x:v>Месяц</x:v>
      </x:c>
      <x:c r="B4" s="9" t="str">
        <x:v>Выручка</x:v>
      </x:c>
      <x:c r="C4" s="9" t="str">
        <x:v>Себестоимость</x:v>
      </x:c>
      <x:c r="D4" s="9" t="str">
        <x:v>Расходы заказов</x:v>
      </x:c>
      <x:c r="E4" s="9" t="str">
        <x:v>Общие расходы</x:v>
      </x:c>
      <x:c r="F4" s="9" t="str">
        <x:v>Прочие доходы</x:v>
      </x:c>
      <x:c r="G4" s="9" t="str">
        <x:v>Чистая прибыль</x:v>
      </x:c>
      <x:c r="H4" s="9" t="str">
        <x:v>Маржа</x:v>
      </x:c>
      <x:c r="I4" s="9" t="str">
        <x:v>Заказы</x:v>
      </x:c>
      <x:c r="J4" s="9" t="str">
        <x:v>Подпись</x:v>
      </x:c>
      <x:c r="K4" s="1"/>
      <x:c r="L4" s="1"/>
    </x:row>
    <x:row r="5" ht="23" customHeight="1">
      <x:c r="A5" s="23" t="n">
        <x:f>EDATE(DATE(YEAR('Настройки'!$B$5),MONTH('Настройки'!$B$5),1),-23)</x:f>
        <x:v>45627</x:v>
      </x:c>
      <x:c r="B5" s="15" t="n">
        <x:f>SUMIFS(Orders[Выручка],Orders[Дата],"&gt;="&amp;A5,Orders[Дата],"&lt;"&amp;(EOMONTH(A5,0)+1))</x:f>
        <x:v>0</x:v>
      </x:c>
      <x:c r="C5" s="15" t="n">
        <x:f>SUMIFS(Orders[Себестоимость],Orders[Дата],"&gt;="&amp;A5,Orders[Дата],"&lt;"&amp;(EOMONTH(A5,0)+1))</x:f>
        <x:v>0</x:v>
      </x:c>
      <x:c r="D5" s="15" t="n">
        <x:f>SUMIFS(Orders[Комиссия],Orders[Дата],"&gt;="&amp;A5,Orders[Дата],"&lt;"&amp;(EOMONTH(A5,0)+1))+SUMIFS(Orders[Доставка],Orders[Дата],"&gt;="&amp;A5,Orders[Дата],"&lt;"&amp;(EOMONTH(A5,0)+1))+SUMIFS(Orders[Упаковка],Orders[Дата],"&gt;="&amp;A5,Orders[Дата],"&lt;"&amp;(EOMONTH(A5,0)+1))+SUMIFS(Orders[Реклама],Orders[Дата],"&gt;="&amp;A5,Orders[Дата],"&lt;"&amp;(EOMONTH(A5,0)+1))+SUMIFS(Orders[Прочее],Orders[Дата],"&gt;="&amp;A5,Orders[Дата],"&lt;"&amp;(EOMONTH(A5,0)+1))</x:f>
        <x:v>0</x:v>
      </x:c>
      <x:c r="E5" s="15" t="n">
        <x:f>SUMIFS(Cash[Расход прибыли],Cash[Дата],"&gt;="&amp;A5,Cash[Дата],"&lt;"&amp;(EOMONTH(A5,0)+1))</x:f>
        <x:v>0</x:v>
      </x:c>
      <x:c r="F5" s="15" t="n">
        <x:f>SUMIFS(Cash[Доход прибыли],Cash[Дата],"&gt;="&amp;A5,Cash[Дата],"&lt;"&amp;(EOMONTH(A5,0)+1))</x:f>
        <x:v>0</x:v>
      </x:c>
      <x:c r="G5" s="15" t="n">
        <x:f>B5-SUM(C5:E5)+F5</x:f>
        <x:v>0</x:v>
      </x:c>
      <x:c r="H5" s="18" t="str">
        <x:f>IF(B5=0,"",G5/B5)</x:f>
      </x:c>
      <x:c r="I5" s="13" t="n">
        <x:f>SUMIFS(Orders[Первый номер],Orders[Дата],"&gt;="&amp;A5,Orders[Дата],"&lt;"&amp;(EOMONTH(A5,0)+1))</x:f>
        <x:v>0</x:v>
      </x:c>
      <x:c r="J5" s="13" t="str">
        <x:f>MONTH(A5)&amp;"."&amp;YEAR(A5)</x:f>
        <x:v>12.2024</x:v>
      </x:c>
      <x:c r="K5" s="1"/>
      <x:c r="L5" s="1"/>
    </x:row>
    <x:row r="6" ht="23" customHeight="1">
      <x:c r="A6" s="23" t="n">
        <x:f>EDATE(DATE(YEAR('Настройки'!$B$5),MONTH('Настройки'!$B$5),1),-22)</x:f>
        <x:v>45658</x:v>
      </x:c>
      <x:c r="B6" s="15" t="n">
        <x:f>SUMIFS(Orders[Выручка],Orders[Дата],"&gt;="&amp;A6,Orders[Дата],"&lt;"&amp;(EOMONTH(A6,0)+1))</x:f>
        <x:v>0</x:v>
      </x:c>
      <x:c r="C6" s="15" t="n">
        <x:f>SUMIFS(Orders[Себестоимость],Orders[Дата],"&gt;="&amp;A6,Orders[Дата],"&lt;"&amp;(EOMONTH(A6,0)+1))</x:f>
        <x:v>0</x:v>
      </x:c>
      <x:c r="D6" s="15" t="n">
        <x:f>SUMIFS(Orders[Комиссия],Orders[Дата],"&gt;="&amp;A6,Orders[Дата],"&lt;"&amp;(EOMONTH(A6,0)+1))+SUMIFS(Orders[Доставка],Orders[Дата],"&gt;="&amp;A6,Orders[Дата],"&lt;"&amp;(EOMONTH(A6,0)+1))+SUMIFS(Orders[Упаковка],Orders[Дата],"&gt;="&amp;A6,Orders[Дата],"&lt;"&amp;(EOMONTH(A6,0)+1))+SUMIFS(Orders[Реклама],Orders[Дата],"&gt;="&amp;A6,Orders[Дата],"&lt;"&amp;(EOMONTH(A6,0)+1))+SUMIFS(Orders[Прочее],Orders[Дата],"&gt;="&amp;A6,Orders[Дата],"&lt;"&amp;(EOMONTH(A6,0)+1))</x:f>
        <x:v>0</x:v>
      </x:c>
      <x:c r="E6" s="15" t="n">
        <x:f>SUMIFS(Cash[Расход прибыли],Cash[Дата],"&gt;="&amp;A6,Cash[Дата],"&lt;"&amp;(EOMONTH(A6,0)+1))</x:f>
        <x:v>0</x:v>
      </x:c>
      <x:c r="F6" s="15" t="n">
        <x:f>SUMIFS(Cash[Доход прибыли],Cash[Дата],"&gt;="&amp;A6,Cash[Дата],"&lt;"&amp;(EOMONTH(A6,0)+1))</x:f>
        <x:v>0</x:v>
      </x:c>
      <x:c r="G6" s="15" t="n">
        <x:f>B6-SUM(C6:E6)+F6</x:f>
        <x:v>0</x:v>
      </x:c>
      <x:c r="H6" s="18" t="str">
        <x:f>IF(B6=0,"",G6/B6)</x:f>
      </x:c>
      <x:c r="I6" s="13" t="n">
        <x:f>SUMIFS(Orders[Первый номер],Orders[Дата],"&gt;="&amp;A6,Orders[Дата],"&lt;"&amp;(EOMONTH(A6,0)+1))</x:f>
        <x:v>0</x:v>
      </x:c>
      <x:c r="J6" s="13" t="str">
        <x:f>MONTH(A6)&amp;"."&amp;YEAR(A6)</x:f>
        <x:v>1.2025</x:v>
      </x:c>
      <x:c r="K6" s="1"/>
      <x:c r="L6" s="1"/>
    </x:row>
    <x:row r="7" ht="23" customHeight="1">
      <x:c r="A7" s="23" t="n">
        <x:f>EDATE(DATE(YEAR('Настройки'!$B$5),MONTH('Настройки'!$B$5),1),-21)</x:f>
        <x:v>45689</x:v>
      </x:c>
      <x:c r="B7" s="15" t="n">
        <x:f>SUMIFS(Orders[Выручка],Orders[Дата],"&gt;="&amp;A7,Orders[Дата],"&lt;"&amp;(EOMONTH(A7,0)+1))</x:f>
        <x:v>0</x:v>
      </x:c>
      <x:c r="C7" s="15" t="n">
        <x:f>SUMIFS(Orders[Себестоимость],Orders[Дата],"&gt;="&amp;A7,Orders[Дата],"&lt;"&amp;(EOMONTH(A7,0)+1))</x:f>
        <x:v>0</x:v>
      </x:c>
      <x:c r="D7" s="15" t="n">
        <x:f>SUMIFS(Orders[Комиссия],Orders[Дата],"&gt;="&amp;A7,Orders[Дата],"&lt;"&amp;(EOMONTH(A7,0)+1))+SUMIFS(Orders[Доставка],Orders[Дата],"&gt;="&amp;A7,Orders[Дата],"&lt;"&amp;(EOMONTH(A7,0)+1))+SUMIFS(Orders[Упаковка],Orders[Дата],"&gt;="&amp;A7,Orders[Дата],"&lt;"&amp;(EOMONTH(A7,0)+1))+SUMIFS(Orders[Реклама],Orders[Дата],"&gt;="&amp;A7,Orders[Дата],"&lt;"&amp;(EOMONTH(A7,0)+1))+SUMIFS(Orders[Прочее],Orders[Дата],"&gt;="&amp;A7,Orders[Дата],"&lt;"&amp;(EOMONTH(A7,0)+1))</x:f>
        <x:v>0</x:v>
      </x:c>
      <x:c r="E7" s="15" t="n">
        <x:f>SUMIFS(Cash[Расход прибыли],Cash[Дата],"&gt;="&amp;A7,Cash[Дата],"&lt;"&amp;(EOMONTH(A7,0)+1))</x:f>
        <x:v>0</x:v>
      </x:c>
      <x:c r="F7" s="15" t="n">
        <x:f>SUMIFS(Cash[Доход прибыли],Cash[Дата],"&gt;="&amp;A7,Cash[Дата],"&lt;"&amp;(EOMONTH(A7,0)+1))</x:f>
        <x:v>0</x:v>
      </x:c>
      <x:c r="G7" s="15" t="n">
        <x:f>B7-SUM(C7:E7)+F7</x:f>
        <x:v>0</x:v>
      </x:c>
      <x:c r="H7" s="18" t="str">
        <x:f>IF(B7=0,"",G7/B7)</x:f>
      </x:c>
      <x:c r="I7" s="13" t="n">
        <x:f>SUMIFS(Orders[Первый номер],Orders[Дата],"&gt;="&amp;A7,Orders[Дата],"&lt;"&amp;(EOMONTH(A7,0)+1))</x:f>
        <x:v>0</x:v>
      </x:c>
      <x:c r="J7" s="13" t="str">
        <x:f>MONTH(A7)&amp;"."&amp;YEAR(A7)</x:f>
        <x:v>2.2025</x:v>
      </x:c>
      <x:c r="K7" s="1"/>
      <x:c r="L7" s="1"/>
    </x:row>
    <x:row r="8" ht="23" customHeight="1">
      <x:c r="A8" s="23" t="n">
        <x:f>EDATE(DATE(YEAR('Настройки'!$B$5),MONTH('Настройки'!$B$5),1),-20)</x:f>
        <x:v>45717</x:v>
      </x:c>
      <x:c r="B8" s="15" t="n">
        <x:f>SUMIFS(Orders[Выручка],Orders[Дата],"&gt;="&amp;A8,Orders[Дата],"&lt;"&amp;(EOMONTH(A8,0)+1))</x:f>
        <x:v>0</x:v>
      </x:c>
      <x:c r="C8" s="15" t="n">
        <x:f>SUMIFS(Orders[Себестоимость],Orders[Дата],"&gt;="&amp;A8,Orders[Дата],"&lt;"&amp;(EOMONTH(A8,0)+1))</x:f>
        <x:v>0</x:v>
      </x:c>
      <x:c r="D8" s="15" t="n">
        <x:f>SUMIFS(Orders[Комиссия],Orders[Дата],"&gt;="&amp;A8,Orders[Дата],"&lt;"&amp;(EOMONTH(A8,0)+1))+SUMIFS(Orders[Доставка],Orders[Дата],"&gt;="&amp;A8,Orders[Дата],"&lt;"&amp;(EOMONTH(A8,0)+1))+SUMIFS(Orders[Упаковка],Orders[Дата],"&gt;="&amp;A8,Orders[Дата],"&lt;"&amp;(EOMONTH(A8,0)+1))+SUMIFS(Orders[Реклама],Orders[Дата],"&gt;="&amp;A8,Orders[Дата],"&lt;"&amp;(EOMONTH(A8,0)+1))+SUMIFS(Orders[Прочее],Orders[Дата],"&gt;="&amp;A8,Orders[Дата],"&lt;"&amp;(EOMONTH(A8,0)+1))</x:f>
        <x:v>0</x:v>
      </x:c>
      <x:c r="E8" s="15" t="n">
        <x:f>SUMIFS(Cash[Расход прибыли],Cash[Дата],"&gt;="&amp;A8,Cash[Дата],"&lt;"&amp;(EOMONTH(A8,0)+1))</x:f>
        <x:v>0</x:v>
      </x:c>
      <x:c r="F8" s="15" t="n">
        <x:f>SUMIFS(Cash[Доход прибыли],Cash[Дата],"&gt;="&amp;A8,Cash[Дата],"&lt;"&amp;(EOMONTH(A8,0)+1))</x:f>
        <x:v>0</x:v>
      </x:c>
      <x:c r="G8" s="15" t="n">
        <x:f>B8-SUM(C8:E8)+F8</x:f>
        <x:v>0</x:v>
      </x:c>
      <x:c r="H8" s="18" t="str">
        <x:f>IF(B8=0,"",G8/B8)</x:f>
      </x:c>
      <x:c r="I8" s="13" t="n">
        <x:f>SUMIFS(Orders[Первый номер],Orders[Дата],"&gt;="&amp;A8,Orders[Дата],"&lt;"&amp;(EOMONTH(A8,0)+1))</x:f>
        <x:v>0</x:v>
      </x:c>
      <x:c r="J8" s="13" t="str">
        <x:f>MONTH(A8)&amp;"."&amp;YEAR(A8)</x:f>
        <x:v>3.2025</x:v>
      </x:c>
      <x:c r="K8" s="1"/>
      <x:c r="L8" s="1"/>
    </x:row>
    <x:row r="9" ht="23" customHeight="1">
      <x:c r="A9" s="23" t="n">
        <x:f>EDATE(DATE(YEAR('Настройки'!$B$5),MONTH('Настройки'!$B$5),1),-19)</x:f>
        <x:v>45748</x:v>
      </x:c>
      <x:c r="B9" s="15" t="n">
        <x:f>SUMIFS(Orders[Выручка],Orders[Дата],"&gt;="&amp;A9,Orders[Дата],"&lt;"&amp;(EOMONTH(A9,0)+1))</x:f>
        <x:v>0</x:v>
      </x:c>
      <x:c r="C9" s="15" t="n">
        <x:f>SUMIFS(Orders[Себестоимость],Orders[Дата],"&gt;="&amp;A9,Orders[Дата],"&lt;"&amp;(EOMONTH(A9,0)+1))</x:f>
        <x:v>0</x:v>
      </x:c>
      <x:c r="D9" s="15" t="n">
        <x:f>SUMIFS(Orders[Комиссия],Orders[Дата],"&gt;="&amp;A9,Orders[Дата],"&lt;"&amp;(EOMONTH(A9,0)+1))+SUMIFS(Orders[Доставка],Orders[Дата],"&gt;="&amp;A9,Orders[Дата],"&lt;"&amp;(EOMONTH(A9,0)+1))+SUMIFS(Orders[Упаковка],Orders[Дата],"&gt;="&amp;A9,Orders[Дата],"&lt;"&amp;(EOMONTH(A9,0)+1))+SUMIFS(Orders[Реклама],Orders[Дата],"&gt;="&amp;A9,Orders[Дата],"&lt;"&amp;(EOMONTH(A9,0)+1))+SUMIFS(Orders[Прочее],Orders[Дата],"&gt;="&amp;A9,Orders[Дата],"&lt;"&amp;(EOMONTH(A9,0)+1))</x:f>
        <x:v>0</x:v>
      </x:c>
      <x:c r="E9" s="15" t="n">
        <x:f>SUMIFS(Cash[Расход прибыли],Cash[Дата],"&gt;="&amp;A9,Cash[Дата],"&lt;"&amp;(EOMONTH(A9,0)+1))</x:f>
        <x:v>0</x:v>
      </x:c>
      <x:c r="F9" s="15" t="n">
        <x:f>SUMIFS(Cash[Доход прибыли],Cash[Дата],"&gt;="&amp;A9,Cash[Дата],"&lt;"&amp;(EOMONTH(A9,0)+1))</x:f>
        <x:v>0</x:v>
      </x:c>
      <x:c r="G9" s="15" t="n">
        <x:f>B9-SUM(C9:E9)+F9</x:f>
        <x:v>0</x:v>
      </x:c>
      <x:c r="H9" s="18" t="str">
        <x:f>IF(B9=0,"",G9/B9)</x:f>
      </x:c>
      <x:c r="I9" s="13" t="n">
        <x:f>SUMIFS(Orders[Первый номер],Orders[Дата],"&gt;="&amp;A9,Orders[Дата],"&lt;"&amp;(EOMONTH(A9,0)+1))</x:f>
        <x:v>0</x:v>
      </x:c>
      <x:c r="J9" s="13" t="str">
        <x:f>MONTH(A9)&amp;"."&amp;YEAR(A9)</x:f>
        <x:v>4.2025</x:v>
      </x:c>
      <x:c r="K9" s="1"/>
      <x:c r="L9" s="1"/>
    </x:row>
    <x:row r="10" ht="23" customHeight="1">
      <x:c r="A10" s="23" t="n">
        <x:f>EDATE(DATE(YEAR('Настройки'!$B$5),MONTH('Настройки'!$B$5),1),-18)</x:f>
        <x:v>45778</x:v>
      </x:c>
      <x:c r="B10" s="15" t="n">
        <x:f>SUMIFS(Orders[Выручка],Orders[Дата],"&gt;="&amp;A10,Orders[Дата],"&lt;"&amp;(EOMONTH(A10,0)+1))</x:f>
        <x:v>0</x:v>
      </x:c>
      <x:c r="C10" s="15" t="n">
        <x:f>SUMIFS(Orders[Себестоимость],Orders[Дата],"&gt;="&amp;A10,Orders[Дата],"&lt;"&amp;(EOMONTH(A10,0)+1))</x:f>
        <x:v>0</x:v>
      </x:c>
      <x:c r="D10" s="15" t="n">
        <x:f>SUMIFS(Orders[Комиссия],Orders[Дата],"&gt;="&amp;A10,Orders[Дата],"&lt;"&amp;(EOMONTH(A10,0)+1))+SUMIFS(Orders[Доставка],Orders[Дата],"&gt;="&amp;A10,Orders[Дата],"&lt;"&amp;(EOMONTH(A10,0)+1))+SUMIFS(Orders[Упаковка],Orders[Дата],"&gt;="&amp;A10,Orders[Дата],"&lt;"&amp;(EOMONTH(A10,0)+1))+SUMIFS(Orders[Реклама],Orders[Дата],"&gt;="&amp;A10,Orders[Дата],"&lt;"&amp;(EOMONTH(A10,0)+1))+SUMIFS(Orders[Прочее],Orders[Дата],"&gt;="&amp;A10,Orders[Дата],"&lt;"&amp;(EOMONTH(A10,0)+1))</x:f>
        <x:v>0</x:v>
      </x:c>
      <x:c r="E10" s="15" t="n">
        <x:f>SUMIFS(Cash[Расход прибыли],Cash[Дата],"&gt;="&amp;A10,Cash[Дата],"&lt;"&amp;(EOMONTH(A10,0)+1))</x:f>
        <x:v>0</x:v>
      </x:c>
      <x:c r="F10" s="15" t="n">
        <x:f>SUMIFS(Cash[Доход прибыли],Cash[Дата],"&gt;="&amp;A10,Cash[Дата],"&lt;"&amp;(EOMONTH(A10,0)+1))</x:f>
        <x:v>0</x:v>
      </x:c>
      <x:c r="G10" s="15" t="n">
        <x:f>B10-SUM(C10:E10)+F10</x:f>
        <x:v>0</x:v>
      </x:c>
      <x:c r="H10" s="18" t="str">
        <x:f>IF(B10=0,"",G10/B10)</x:f>
      </x:c>
      <x:c r="I10" s="13" t="n">
        <x:f>SUMIFS(Orders[Первый номер],Orders[Дата],"&gt;="&amp;A10,Orders[Дата],"&lt;"&amp;(EOMONTH(A10,0)+1))</x:f>
        <x:v>0</x:v>
      </x:c>
      <x:c r="J10" s="13" t="str">
        <x:f>MONTH(A10)&amp;"."&amp;YEAR(A10)</x:f>
        <x:v>5.2025</x:v>
      </x:c>
      <x:c r="K10" s="1"/>
      <x:c r="L10" s="1"/>
    </x:row>
    <x:row r="11" ht="23" customHeight="1">
      <x:c r="A11" s="23" t="n">
        <x:f>EDATE(DATE(YEAR('Настройки'!$B$5),MONTH('Настройки'!$B$5),1),-17)</x:f>
        <x:v>45809</x:v>
      </x:c>
      <x:c r="B11" s="15" t="n">
        <x:f>SUMIFS(Orders[Выручка],Orders[Дата],"&gt;="&amp;A11,Orders[Дата],"&lt;"&amp;(EOMONTH(A11,0)+1))</x:f>
        <x:v>0</x:v>
      </x:c>
      <x:c r="C11" s="15" t="n">
        <x:f>SUMIFS(Orders[Себестоимость],Orders[Дата],"&gt;="&amp;A11,Orders[Дата],"&lt;"&amp;(EOMONTH(A11,0)+1))</x:f>
        <x:v>0</x:v>
      </x:c>
      <x:c r="D11" s="15" t="n">
        <x:f>SUMIFS(Orders[Комиссия],Orders[Дата],"&gt;="&amp;A11,Orders[Дата],"&lt;"&amp;(EOMONTH(A11,0)+1))+SUMIFS(Orders[Доставка],Orders[Дата],"&gt;="&amp;A11,Orders[Дата],"&lt;"&amp;(EOMONTH(A11,0)+1))+SUMIFS(Orders[Упаковка],Orders[Дата],"&gt;="&amp;A11,Orders[Дата],"&lt;"&amp;(EOMONTH(A11,0)+1))+SUMIFS(Orders[Реклама],Orders[Дата],"&gt;="&amp;A11,Orders[Дата],"&lt;"&amp;(EOMONTH(A11,0)+1))+SUMIFS(Orders[Прочее],Orders[Дата],"&gt;="&amp;A11,Orders[Дата],"&lt;"&amp;(EOMONTH(A11,0)+1))</x:f>
        <x:v>0</x:v>
      </x:c>
      <x:c r="E11" s="15" t="n">
        <x:f>SUMIFS(Cash[Расход прибыли],Cash[Дата],"&gt;="&amp;A11,Cash[Дата],"&lt;"&amp;(EOMONTH(A11,0)+1))</x:f>
        <x:v>0</x:v>
      </x:c>
      <x:c r="F11" s="15" t="n">
        <x:f>SUMIFS(Cash[Доход прибыли],Cash[Дата],"&gt;="&amp;A11,Cash[Дата],"&lt;"&amp;(EOMONTH(A11,0)+1))</x:f>
        <x:v>0</x:v>
      </x:c>
      <x:c r="G11" s="15" t="n">
        <x:f>B11-SUM(C11:E11)+F11</x:f>
        <x:v>0</x:v>
      </x:c>
      <x:c r="H11" s="18" t="str">
        <x:f>IF(B11=0,"",G11/B11)</x:f>
      </x:c>
      <x:c r="I11" s="13" t="n">
        <x:f>SUMIFS(Orders[Первый номер],Orders[Дата],"&gt;="&amp;A11,Orders[Дата],"&lt;"&amp;(EOMONTH(A11,0)+1))</x:f>
        <x:v>0</x:v>
      </x:c>
      <x:c r="J11" s="13" t="str">
        <x:f>MONTH(A11)&amp;"."&amp;YEAR(A11)</x:f>
        <x:v>6.2025</x:v>
      </x:c>
      <x:c r="K11" s="1"/>
      <x:c r="L11" s="1"/>
    </x:row>
    <x:row r="12" ht="23" customHeight="1">
      <x:c r="A12" s="23" t="n">
        <x:f>EDATE(DATE(YEAR('Настройки'!$B$5),MONTH('Настройки'!$B$5),1),-16)</x:f>
        <x:v>45839</x:v>
      </x:c>
      <x:c r="B12" s="15" t="n">
        <x:f>SUMIFS(Orders[Выручка],Orders[Дата],"&gt;="&amp;A12,Orders[Дата],"&lt;"&amp;(EOMONTH(A12,0)+1))</x:f>
        <x:v>0</x:v>
      </x:c>
      <x:c r="C12" s="15" t="n">
        <x:f>SUMIFS(Orders[Себестоимость],Orders[Дата],"&gt;="&amp;A12,Orders[Дата],"&lt;"&amp;(EOMONTH(A12,0)+1))</x:f>
        <x:v>0</x:v>
      </x:c>
      <x:c r="D12" s="15" t="n">
        <x:f>SUMIFS(Orders[Комиссия],Orders[Дата],"&gt;="&amp;A12,Orders[Дата],"&lt;"&amp;(EOMONTH(A12,0)+1))+SUMIFS(Orders[Доставка],Orders[Дата],"&gt;="&amp;A12,Orders[Дата],"&lt;"&amp;(EOMONTH(A12,0)+1))+SUMIFS(Orders[Упаковка],Orders[Дата],"&gt;="&amp;A12,Orders[Дата],"&lt;"&amp;(EOMONTH(A12,0)+1))+SUMIFS(Orders[Реклама],Orders[Дата],"&gt;="&amp;A12,Orders[Дата],"&lt;"&amp;(EOMONTH(A12,0)+1))+SUMIFS(Orders[Прочее],Orders[Дата],"&gt;="&amp;A12,Orders[Дата],"&lt;"&amp;(EOMONTH(A12,0)+1))</x:f>
        <x:v>0</x:v>
      </x:c>
      <x:c r="E12" s="15" t="n">
        <x:f>SUMIFS(Cash[Расход прибыли],Cash[Дата],"&gt;="&amp;A12,Cash[Дата],"&lt;"&amp;(EOMONTH(A12,0)+1))</x:f>
        <x:v>0</x:v>
      </x:c>
      <x:c r="F12" s="15" t="n">
        <x:f>SUMIFS(Cash[Доход прибыли],Cash[Дата],"&gt;="&amp;A12,Cash[Дата],"&lt;"&amp;(EOMONTH(A12,0)+1))</x:f>
        <x:v>0</x:v>
      </x:c>
      <x:c r="G12" s="15" t="n">
        <x:f>B12-SUM(C12:E12)+F12</x:f>
        <x:v>0</x:v>
      </x:c>
      <x:c r="H12" s="18" t="str">
        <x:f>IF(B12=0,"",G12/B12)</x:f>
      </x:c>
      <x:c r="I12" s="13" t="n">
        <x:f>SUMIFS(Orders[Первый номер],Orders[Дата],"&gt;="&amp;A12,Orders[Дата],"&lt;"&amp;(EOMONTH(A12,0)+1))</x:f>
        <x:v>0</x:v>
      </x:c>
      <x:c r="J12" s="13" t="str">
        <x:f>MONTH(A12)&amp;"."&amp;YEAR(A12)</x:f>
        <x:v>7.2025</x:v>
      </x:c>
      <x:c r="K12" s="1"/>
      <x:c r="L12" s="1"/>
    </x:row>
    <x:row r="13" ht="23" customHeight="1">
      <x:c r="A13" s="23" t="n">
        <x:f>EDATE(DATE(YEAR('Настройки'!$B$5),MONTH('Настройки'!$B$5),1),-15)</x:f>
        <x:v>45870</x:v>
      </x:c>
      <x:c r="B13" s="15" t="n">
        <x:f>SUMIFS(Orders[Выручка],Orders[Дата],"&gt;="&amp;A13,Orders[Дата],"&lt;"&amp;(EOMONTH(A13,0)+1))</x:f>
        <x:v>0</x:v>
      </x:c>
      <x:c r="C13" s="15" t="n">
        <x:f>SUMIFS(Orders[Себестоимость],Orders[Дата],"&gt;="&amp;A13,Orders[Дата],"&lt;"&amp;(EOMONTH(A13,0)+1))</x:f>
        <x:v>0</x:v>
      </x:c>
      <x:c r="D13" s="15" t="n">
        <x:f>SUMIFS(Orders[Комиссия],Orders[Дата],"&gt;="&amp;A13,Orders[Дата],"&lt;"&amp;(EOMONTH(A13,0)+1))+SUMIFS(Orders[Доставка],Orders[Дата],"&gt;="&amp;A13,Orders[Дата],"&lt;"&amp;(EOMONTH(A13,0)+1))+SUMIFS(Orders[Упаковка],Orders[Дата],"&gt;="&amp;A13,Orders[Дата],"&lt;"&amp;(EOMONTH(A13,0)+1))+SUMIFS(Orders[Реклама],Orders[Дата],"&gt;="&amp;A13,Orders[Дата],"&lt;"&amp;(EOMONTH(A13,0)+1))+SUMIFS(Orders[Прочее],Orders[Дата],"&gt;="&amp;A13,Orders[Дата],"&lt;"&amp;(EOMONTH(A13,0)+1))</x:f>
        <x:v>0</x:v>
      </x:c>
      <x:c r="E13" s="15" t="n">
        <x:f>SUMIFS(Cash[Расход прибыли],Cash[Дата],"&gt;="&amp;A13,Cash[Дата],"&lt;"&amp;(EOMONTH(A13,0)+1))</x:f>
        <x:v>0</x:v>
      </x:c>
      <x:c r="F13" s="15" t="n">
        <x:f>SUMIFS(Cash[Доход прибыли],Cash[Дата],"&gt;="&amp;A13,Cash[Дата],"&lt;"&amp;(EOMONTH(A13,0)+1))</x:f>
        <x:v>0</x:v>
      </x:c>
      <x:c r="G13" s="15" t="n">
        <x:f>B13-SUM(C13:E13)+F13</x:f>
        <x:v>0</x:v>
      </x:c>
      <x:c r="H13" s="18" t="str">
        <x:f>IF(B13=0,"",G13/B13)</x:f>
      </x:c>
      <x:c r="I13" s="13" t="n">
        <x:f>SUMIFS(Orders[Первый номер],Orders[Дата],"&gt;="&amp;A13,Orders[Дата],"&lt;"&amp;(EOMONTH(A13,0)+1))</x:f>
        <x:v>0</x:v>
      </x:c>
      <x:c r="J13" s="13" t="str">
        <x:f>MONTH(A13)&amp;"."&amp;YEAR(A13)</x:f>
        <x:v>8.2025</x:v>
      </x:c>
      <x:c r="K13" s="1"/>
      <x:c r="L13" s="1"/>
    </x:row>
    <x:row r="14" ht="23" customHeight="1">
      <x:c r="A14" s="23" t="n">
        <x:f>EDATE(DATE(YEAR('Настройки'!$B$5),MONTH('Настройки'!$B$5),1),-14)</x:f>
        <x:v>45901</x:v>
      </x:c>
      <x:c r="B14" s="15" t="n">
        <x:f>SUMIFS(Orders[Выручка],Orders[Дата],"&gt;="&amp;A14,Orders[Дата],"&lt;"&amp;(EOMONTH(A14,0)+1))</x:f>
        <x:v>0</x:v>
      </x:c>
      <x:c r="C14" s="15" t="n">
        <x:f>SUMIFS(Orders[Себестоимость],Orders[Дата],"&gt;="&amp;A14,Orders[Дата],"&lt;"&amp;(EOMONTH(A14,0)+1))</x:f>
        <x:v>0</x:v>
      </x:c>
      <x:c r="D14" s="15" t="n">
        <x:f>SUMIFS(Orders[Комиссия],Orders[Дата],"&gt;="&amp;A14,Orders[Дата],"&lt;"&amp;(EOMONTH(A14,0)+1))+SUMIFS(Orders[Доставка],Orders[Дата],"&gt;="&amp;A14,Orders[Дата],"&lt;"&amp;(EOMONTH(A14,0)+1))+SUMIFS(Orders[Упаковка],Orders[Дата],"&gt;="&amp;A14,Orders[Дата],"&lt;"&amp;(EOMONTH(A14,0)+1))+SUMIFS(Orders[Реклама],Orders[Дата],"&gt;="&amp;A14,Orders[Дата],"&lt;"&amp;(EOMONTH(A14,0)+1))+SUMIFS(Orders[Прочее],Orders[Дата],"&gt;="&amp;A14,Orders[Дата],"&lt;"&amp;(EOMONTH(A14,0)+1))</x:f>
        <x:v>0</x:v>
      </x:c>
      <x:c r="E14" s="15" t="n">
        <x:f>SUMIFS(Cash[Расход прибыли],Cash[Дата],"&gt;="&amp;A14,Cash[Дата],"&lt;"&amp;(EOMONTH(A14,0)+1))</x:f>
        <x:v>0</x:v>
      </x:c>
      <x:c r="F14" s="15" t="n">
        <x:f>SUMIFS(Cash[Доход прибыли],Cash[Дата],"&gt;="&amp;A14,Cash[Дата],"&lt;"&amp;(EOMONTH(A14,0)+1))</x:f>
        <x:v>0</x:v>
      </x:c>
      <x:c r="G14" s="15" t="n">
        <x:f>B14-SUM(C14:E14)+F14</x:f>
        <x:v>0</x:v>
      </x:c>
      <x:c r="H14" s="18" t="str">
        <x:f>IF(B14=0,"",G14/B14)</x:f>
      </x:c>
      <x:c r="I14" s="13" t="n">
        <x:f>SUMIFS(Orders[Первый номер],Orders[Дата],"&gt;="&amp;A14,Orders[Дата],"&lt;"&amp;(EOMONTH(A14,0)+1))</x:f>
        <x:v>0</x:v>
      </x:c>
      <x:c r="J14" s="13" t="str">
        <x:f>MONTH(A14)&amp;"."&amp;YEAR(A14)</x:f>
        <x:v>9.2025</x:v>
      </x:c>
      <x:c r="K14" s="1"/>
      <x:c r="L14" s="1"/>
    </x:row>
    <x:row r="15" ht="23" customHeight="1">
      <x:c r="A15" s="23" t="n">
        <x:f>EDATE(DATE(YEAR('Настройки'!$B$5),MONTH('Настройки'!$B$5),1),-13)</x:f>
        <x:v>45931</x:v>
      </x:c>
      <x:c r="B15" s="15" t="n">
        <x:f>SUMIFS(Orders[Выручка],Orders[Дата],"&gt;="&amp;A15,Orders[Дата],"&lt;"&amp;(EOMONTH(A15,0)+1))</x:f>
        <x:v>0</x:v>
      </x:c>
      <x:c r="C15" s="15" t="n">
        <x:f>SUMIFS(Orders[Себестоимость],Orders[Дата],"&gt;="&amp;A15,Orders[Дата],"&lt;"&amp;(EOMONTH(A15,0)+1))</x:f>
        <x:v>0</x:v>
      </x:c>
      <x:c r="D15" s="15" t="n">
        <x:f>SUMIFS(Orders[Комиссия],Orders[Дата],"&gt;="&amp;A15,Orders[Дата],"&lt;"&amp;(EOMONTH(A15,0)+1))+SUMIFS(Orders[Доставка],Orders[Дата],"&gt;="&amp;A15,Orders[Дата],"&lt;"&amp;(EOMONTH(A15,0)+1))+SUMIFS(Orders[Упаковка],Orders[Дата],"&gt;="&amp;A15,Orders[Дата],"&lt;"&amp;(EOMONTH(A15,0)+1))+SUMIFS(Orders[Реклама],Orders[Дата],"&gt;="&amp;A15,Orders[Дата],"&lt;"&amp;(EOMONTH(A15,0)+1))+SUMIFS(Orders[Прочее],Orders[Дата],"&gt;="&amp;A15,Orders[Дата],"&lt;"&amp;(EOMONTH(A15,0)+1))</x:f>
        <x:v>0</x:v>
      </x:c>
      <x:c r="E15" s="15" t="n">
        <x:f>SUMIFS(Cash[Расход прибыли],Cash[Дата],"&gt;="&amp;A15,Cash[Дата],"&lt;"&amp;(EOMONTH(A15,0)+1))</x:f>
        <x:v>0</x:v>
      </x:c>
      <x:c r="F15" s="15" t="n">
        <x:f>SUMIFS(Cash[Доход прибыли],Cash[Дата],"&gt;="&amp;A15,Cash[Дата],"&lt;"&amp;(EOMONTH(A15,0)+1))</x:f>
        <x:v>0</x:v>
      </x:c>
      <x:c r="G15" s="15" t="n">
        <x:f>B15-SUM(C15:E15)+F15</x:f>
        <x:v>0</x:v>
      </x:c>
      <x:c r="H15" s="18" t="str">
        <x:f>IF(B15=0,"",G15/B15)</x:f>
      </x:c>
      <x:c r="I15" s="13" t="n">
        <x:f>SUMIFS(Orders[Первый номер],Orders[Дата],"&gt;="&amp;A15,Orders[Дата],"&lt;"&amp;(EOMONTH(A15,0)+1))</x:f>
        <x:v>0</x:v>
      </x:c>
      <x:c r="J15" s="13" t="str">
        <x:f>MONTH(A15)&amp;"."&amp;YEAR(A15)</x:f>
        <x:v>10.2025</x:v>
      </x:c>
      <x:c r="K15" s="1"/>
      <x:c r="L15" s="1"/>
    </x:row>
    <x:row r="16" ht="23" customHeight="1">
      <x:c r="A16" s="23" t="n">
        <x:f>EDATE(DATE(YEAR('Настройки'!$B$5),MONTH('Настройки'!$B$5),1),-12)</x:f>
        <x:v>45962</x:v>
      </x:c>
      <x:c r="B16" s="15" t="n">
        <x:f>SUMIFS(Orders[Выручка],Orders[Дата],"&gt;="&amp;A16,Orders[Дата],"&lt;"&amp;(EOMONTH(A16,0)+1))</x:f>
        <x:v>0</x:v>
      </x:c>
      <x:c r="C16" s="15" t="n">
        <x:f>SUMIFS(Orders[Себестоимость],Orders[Дата],"&gt;="&amp;A16,Orders[Дата],"&lt;"&amp;(EOMONTH(A16,0)+1))</x:f>
        <x:v>0</x:v>
      </x:c>
      <x:c r="D16" s="15" t="n">
        <x:f>SUMIFS(Orders[Комиссия],Orders[Дата],"&gt;="&amp;A16,Orders[Дата],"&lt;"&amp;(EOMONTH(A16,0)+1))+SUMIFS(Orders[Доставка],Orders[Дата],"&gt;="&amp;A16,Orders[Дата],"&lt;"&amp;(EOMONTH(A16,0)+1))+SUMIFS(Orders[Упаковка],Orders[Дата],"&gt;="&amp;A16,Orders[Дата],"&lt;"&amp;(EOMONTH(A16,0)+1))+SUMIFS(Orders[Реклама],Orders[Дата],"&gt;="&amp;A16,Orders[Дата],"&lt;"&amp;(EOMONTH(A16,0)+1))+SUMIFS(Orders[Прочее],Orders[Дата],"&gt;="&amp;A16,Orders[Дата],"&lt;"&amp;(EOMONTH(A16,0)+1))</x:f>
        <x:v>0</x:v>
      </x:c>
      <x:c r="E16" s="15" t="n">
        <x:f>SUMIFS(Cash[Расход прибыли],Cash[Дата],"&gt;="&amp;A16,Cash[Дата],"&lt;"&amp;(EOMONTH(A16,0)+1))</x:f>
        <x:v>0</x:v>
      </x:c>
      <x:c r="F16" s="15" t="n">
        <x:f>SUMIFS(Cash[Доход прибыли],Cash[Дата],"&gt;="&amp;A16,Cash[Дата],"&lt;"&amp;(EOMONTH(A16,0)+1))</x:f>
        <x:v>0</x:v>
      </x:c>
      <x:c r="G16" s="15" t="n">
        <x:f>B16-SUM(C16:E16)+F16</x:f>
        <x:v>0</x:v>
      </x:c>
      <x:c r="H16" s="18" t="str">
        <x:f>IF(B16=0,"",G16/B16)</x:f>
      </x:c>
      <x:c r="I16" s="13" t="n">
        <x:f>SUMIFS(Orders[Первый номер],Orders[Дата],"&gt;="&amp;A16,Orders[Дата],"&lt;"&amp;(EOMONTH(A16,0)+1))</x:f>
        <x:v>0</x:v>
      </x:c>
      <x:c r="J16" s="13" t="str">
        <x:f>MONTH(A16)&amp;"."&amp;YEAR(A16)</x:f>
        <x:v>11.2025</x:v>
      </x:c>
      <x:c r="K16" s="1"/>
      <x:c r="L16" s="1"/>
    </x:row>
    <x:row r="17" ht="23" customHeight="1">
      <x:c r="A17" s="23" t="n">
        <x:f>EDATE(DATE(YEAR('Настройки'!$B$5),MONTH('Настройки'!$B$5),1),-11)</x:f>
        <x:v>45992</x:v>
      </x:c>
      <x:c r="B17" s="15" t="n">
        <x:f>SUMIFS(Orders[Выручка],Orders[Дата],"&gt;="&amp;A17,Orders[Дата],"&lt;"&amp;(EOMONTH(A17,0)+1))</x:f>
        <x:v>0</x:v>
      </x:c>
      <x:c r="C17" s="15" t="n">
        <x:f>SUMIFS(Orders[Себестоимость],Orders[Дата],"&gt;="&amp;A17,Orders[Дата],"&lt;"&amp;(EOMONTH(A17,0)+1))</x:f>
        <x:v>0</x:v>
      </x:c>
      <x:c r="D17" s="15" t="n">
        <x:f>SUMIFS(Orders[Комиссия],Orders[Дата],"&gt;="&amp;A17,Orders[Дата],"&lt;"&amp;(EOMONTH(A17,0)+1))+SUMIFS(Orders[Доставка],Orders[Дата],"&gt;="&amp;A17,Orders[Дата],"&lt;"&amp;(EOMONTH(A17,0)+1))+SUMIFS(Orders[Упаковка],Orders[Дата],"&gt;="&amp;A17,Orders[Дата],"&lt;"&amp;(EOMONTH(A17,0)+1))+SUMIFS(Orders[Реклама],Orders[Дата],"&gt;="&amp;A17,Orders[Дата],"&lt;"&amp;(EOMONTH(A17,0)+1))+SUMIFS(Orders[Прочее],Orders[Дата],"&gt;="&amp;A17,Orders[Дата],"&lt;"&amp;(EOMONTH(A17,0)+1))</x:f>
        <x:v>0</x:v>
      </x:c>
      <x:c r="E17" s="15" t="n">
        <x:f>SUMIFS(Cash[Расход прибыли],Cash[Дата],"&gt;="&amp;A17,Cash[Дата],"&lt;"&amp;(EOMONTH(A17,0)+1))</x:f>
        <x:v>0</x:v>
      </x:c>
      <x:c r="F17" s="15" t="n">
        <x:f>SUMIFS(Cash[Доход прибыли],Cash[Дата],"&gt;="&amp;A17,Cash[Дата],"&lt;"&amp;(EOMONTH(A17,0)+1))</x:f>
        <x:v>0</x:v>
      </x:c>
      <x:c r="G17" s="15" t="n">
        <x:f>B17-SUM(C17:E17)+F17</x:f>
        <x:v>0</x:v>
      </x:c>
      <x:c r="H17" s="18" t="str">
        <x:f>IF(B17=0,"",G17/B17)</x:f>
      </x:c>
      <x:c r="I17" s="13" t="n">
        <x:f>SUMIFS(Orders[Первый номер],Orders[Дата],"&gt;="&amp;A17,Orders[Дата],"&lt;"&amp;(EOMONTH(A17,0)+1))</x:f>
        <x:v>0</x:v>
      </x:c>
      <x:c r="J17" s="13" t="str">
        <x:f>MONTH(A17)&amp;"."&amp;YEAR(A17)</x:f>
        <x:v>12.2025</x:v>
      </x:c>
      <x:c r="K17" s="1"/>
      <x:c r="L17" s="1"/>
    </x:row>
    <x:row r="18" ht="23" customHeight="1">
      <x:c r="A18" s="23" t="n">
        <x:f>EDATE(DATE(YEAR('Настройки'!$B$5),MONTH('Настройки'!$B$5),1),-10)</x:f>
        <x:v>46023</x:v>
      </x:c>
      <x:c r="B18" s="15" t="n">
        <x:f>SUMIFS(Orders[Выручка],Orders[Дата],"&gt;="&amp;A18,Orders[Дата],"&lt;"&amp;(EOMONTH(A18,0)+1))</x:f>
        <x:v>0</x:v>
      </x:c>
      <x:c r="C18" s="15" t="n">
        <x:f>SUMIFS(Orders[Себестоимость],Orders[Дата],"&gt;="&amp;A18,Orders[Дата],"&lt;"&amp;(EOMONTH(A18,0)+1))</x:f>
        <x:v>0</x:v>
      </x:c>
      <x:c r="D18" s="15" t="n">
        <x:f>SUMIFS(Orders[Комиссия],Orders[Дата],"&gt;="&amp;A18,Orders[Дата],"&lt;"&amp;(EOMONTH(A18,0)+1))+SUMIFS(Orders[Доставка],Orders[Дата],"&gt;="&amp;A18,Orders[Дата],"&lt;"&amp;(EOMONTH(A18,0)+1))+SUMIFS(Orders[Упаковка],Orders[Дата],"&gt;="&amp;A18,Orders[Дата],"&lt;"&amp;(EOMONTH(A18,0)+1))+SUMIFS(Orders[Реклама],Orders[Дата],"&gt;="&amp;A18,Orders[Дата],"&lt;"&amp;(EOMONTH(A18,0)+1))+SUMIFS(Orders[Прочее],Orders[Дата],"&gt;="&amp;A18,Orders[Дата],"&lt;"&amp;(EOMONTH(A18,0)+1))</x:f>
        <x:v>0</x:v>
      </x:c>
      <x:c r="E18" s="15" t="n">
        <x:f>SUMIFS(Cash[Расход прибыли],Cash[Дата],"&gt;="&amp;A18,Cash[Дата],"&lt;"&amp;(EOMONTH(A18,0)+1))</x:f>
        <x:v>0</x:v>
      </x:c>
      <x:c r="F18" s="15" t="n">
        <x:f>SUMIFS(Cash[Доход прибыли],Cash[Дата],"&gt;="&amp;A18,Cash[Дата],"&lt;"&amp;(EOMONTH(A18,0)+1))</x:f>
        <x:v>0</x:v>
      </x:c>
      <x:c r="G18" s="15" t="n">
        <x:f>B18-SUM(C18:E18)+F18</x:f>
        <x:v>0</x:v>
      </x:c>
      <x:c r="H18" s="18" t="str">
        <x:f>IF(B18=0,"",G18/B18)</x:f>
      </x:c>
      <x:c r="I18" s="13" t="n">
        <x:f>SUMIFS(Orders[Первый номер],Orders[Дата],"&gt;="&amp;A18,Orders[Дата],"&lt;"&amp;(EOMONTH(A18,0)+1))</x:f>
        <x:v>0</x:v>
      </x:c>
      <x:c r="J18" s="13" t="str">
        <x:f>MONTH(A18)&amp;"."&amp;YEAR(A18)</x:f>
        <x:v>1.2026</x:v>
      </x:c>
      <x:c r="K18" s="1"/>
      <x:c r="L18" s="1"/>
    </x:row>
    <x:row r="19" ht="23" customHeight="1">
      <x:c r="A19" s="23" t="n">
        <x:f>EDATE(DATE(YEAR('Настройки'!$B$5),MONTH('Настройки'!$B$5),1),-9)</x:f>
        <x:v>46054</x:v>
      </x:c>
      <x:c r="B19" s="15" t="n">
        <x:f>SUMIFS(Orders[Выручка],Orders[Дата],"&gt;="&amp;A19,Orders[Дата],"&lt;"&amp;(EOMONTH(A19,0)+1))</x:f>
        <x:v>0</x:v>
      </x:c>
      <x:c r="C19" s="15" t="n">
        <x:f>SUMIFS(Orders[Себестоимость],Orders[Дата],"&gt;="&amp;A19,Orders[Дата],"&lt;"&amp;(EOMONTH(A19,0)+1))</x:f>
        <x:v>0</x:v>
      </x:c>
      <x:c r="D19" s="15" t="n">
        <x:f>SUMIFS(Orders[Комиссия],Orders[Дата],"&gt;="&amp;A19,Orders[Дата],"&lt;"&amp;(EOMONTH(A19,0)+1))+SUMIFS(Orders[Доставка],Orders[Дата],"&gt;="&amp;A19,Orders[Дата],"&lt;"&amp;(EOMONTH(A19,0)+1))+SUMIFS(Orders[Упаковка],Orders[Дата],"&gt;="&amp;A19,Orders[Дата],"&lt;"&amp;(EOMONTH(A19,0)+1))+SUMIFS(Orders[Реклама],Orders[Дата],"&gt;="&amp;A19,Orders[Дата],"&lt;"&amp;(EOMONTH(A19,0)+1))+SUMIFS(Orders[Прочее],Orders[Дата],"&gt;="&amp;A19,Orders[Дата],"&lt;"&amp;(EOMONTH(A19,0)+1))</x:f>
        <x:v>0</x:v>
      </x:c>
      <x:c r="E19" s="15" t="n">
        <x:f>SUMIFS(Cash[Расход прибыли],Cash[Дата],"&gt;="&amp;A19,Cash[Дата],"&lt;"&amp;(EOMONTH(A19,0)+1))</x:f>
        <x:v>0</x:v>
      </x:c>
      <x:c r="F19" s="15" t="n">
        <x:f>SUMIFS(Cash[Доход прибыли],Cash[Дата],"&gt;="&amp;A19,Cash[Дата],"&lt;"&amp;(EOMONTH(A19,0)+1))</x:f>
        <x:v>0</x:v>
      </x:c>
      <x:c r="G19" s="15" t="n">
        <x:f>B19-SUM(C19:E19)+F19</x:f>
        <x:v>0</x:v>
      </x:c>
      <x:c r="H19" s="18" t="str">
        <x:f>IF(B19=0,"",G19/B19)</x:f>
      </x:c>
      <x:c r="I19" s="13" t="n">
        <x:f>SUMIFS(Orders[Первый номер],Orders[Дата],"&gt;="&amp;A19,Orders[Дата],"&lt;"&amp;(EOMONTH(A19,0)+1))</x:f>
        <x:v>0</x:v>
      </x:c>
      <x:c r="J19" s="13" t="str">
        <x:f>MONTH(A19)&amp;"."&amp;YEAR(A19)</x:f>
        <x:v>2.2026</x:v>
      </x:c>
      <x:c r="K19" s="1"/>
      <x:c r="L19" s="1"/>
    </x:row>
    <x:row r="20" ht="23" customHeight="1">
      <x:c r="A20" s="23" t="n">
        <x:f>EDATE(DATE(YEAR('Настройки'!$B$5),MONTH('Настройки'!$B$5),1),-8)</x:f>
        <x:v>46082</x:v>
      </x:c>
      <x:c r="B20" s="15" t="n">
        <x:f>SUMIFS(Orders[Выручка],Orders[Дата],"&gt;="&amp;A20,Orders[Дата],"&lt;"&amp;(EOMONTH(A20,0)+1))</x:f>
        <x:v>0</x:v>
      </x:c>
      <x:c r="C20" s="15" t="n">
        <x:f>SUMIFS(Orders[Себестоимость],Orders[Дата],"&gt;="&amp;A20,Orders[Дата],"&lt;"&amp;(EOMONTH(A20,0)+1))</x:f>
        <x:v>0</x:v>
      </x:c>
      <x:c r="D20" s="15" t="n">
        <x:f>SUMIFS(Orders[Комиссия],Orders[Дата],"&gt;="&amp;A20,Orders[Дата],"&lt;"&amp;(EOMONTH(A20,0)+1))+SUMIFS(Orders[Доставка],Orders[Дата],"&gt;="&amp;A20,Orders[Дата],"&lt;"&amp;(EOMONTH(A20,0)+1))+SUMIFS(Orders[Упаковка],Orders[Дата],"&gt;="&amp;A20,Orders[Дата],"&lt;"&amp;(EOMONTH(A20,0)+1))+SUMIFS(Orders[Реклама],Orders[Дата],"&gt;="&amp;A20,Orders[Дата],"&lt;"&amp;(EOMONTH(A20,0)+1))+SUMIFS(Orders[Прочее],Orders[Дата],"&gt;="&amp;A20,Orders[Дата],"&lt;"&amp;(EOMONTH(A20,0)+1))</x:f>
        <x:v>0</x:v>
      </x:c>
      <x:c r="E20" s="15" t="n">
        <x:f>SUMIFS(Cash[Расход прибыли],Cash[Дата],"&gt;="&amp;A20,Cash[Дата],"&lt;"&amp;(EOMONTH(A20,0)+1))</x:f>
        <x:v>0</x:v>
      </x:c>
      <x:c r="F20" s="15" t="n">
        <x:f>SUMIFS(Cash[Доход прибыли],Cash[Дата],"&gt;="&amp;A20,Cash[Дата],"&lt;"&amp;(EOMONTH(A20,0)+1))</x:f>
        <x:v>0</x:v>
      </x:c>
      <x:c r="G20" s="15" t="n">
        <x:f>B20-SUM(C20:E20)+F20</x:f>
        <x:v>0</x:v>
      </x:c>
      <x:c r="H20" s="18" t="str">
        <x:f>IF(B20=0,"",G20/B20)</x:f>
      </x:c>
      <x:c r="I20" s="13" t="n">
        <x:f>SUMIFS(Orders[Первый номер],Orders[Дата],"&gt;="&amp;A20,Orders[Дата],"&lt;"&amp;(EOMONTH(A20,0)+1))</x:f>
        <x:v>0</x:v>
      </x:c>
      <x:c r="J20" s="13" t="str">
        <x:f>MONTH(A20)&amp;"."&amp;YEAR(A20)</x:f>
        <x:v>3.2026</x:v>
      </x:c>
      <x:c r="K20" s="1"/>
      <x:c r="L20" s="1"/>
    </x:row>
    <x:row r="21" ht="23" customHeight="1">
      <x:c r="A21" s="23" t="n">
        <x:f>EDATE(DATE(YEAR('Настройки'!$B$5),MONTH('Настройки'!$B$5),1),-7)</x:f>
        <x:v>46113</x:v>
      </x:c>
      <x:c r="B21" s="15" t="n">
        <x:f>SUMIFS(Orders[Выручка],Orders[Дата],"&gt;="&amp;A21,Orders[Дата],"&lt;"&amp;(EOMONTH(A21,0)+1))</x:f>
        <x:v>0</x:v>
      </x:c>
      <x:c r="C21" s="15" t="n">
        <x:f>SUMIFS(Orders[Себестоимость],Orders[Дата],"&gt;="&amp;A21,Orders[Дата],"&lt;"&amp;(EOMONTH(A21,0)+1))</x:f>
        <x:v>0</x:v>
      </x:c>
      <x:c r="D21" s="15" t="n">
        <x:f>SUMIFS(Orders[Комиссия],Orders[Дата],"&gt;="&amp;A21,Orders[Дата],"&lt;"&amp;(EOMONTH(A21,0)+1))+SUMIFS(Orders[Доставка],Orders[Дата],"&gt;="&amp;A21,Orders[Дата],"&lt;"&amp;(EOMONTH(A21,0)+1))+SUMIFS(Orders[Упаковка],Orders[Дата],"&gt;="&amp;A21,Orders[Дата],"&lt;"&amp;(EOMONTH(A21,0)+1))+SUMIFS(Orders[Реклама],Orders[Дата],"&gt;="&amp;A21,Orders[Дата],"&lt;"&amp;(EOMONTH(A21,0)+1))+SUMIFS(Orders[Прочее],Orders[Дата],"&gt;="&amp;A21,Orders[Дата],"&lt;"&amp;(EOMONTH(A21,0)+1))</x:f>
        <x:v>0</x:v>
      </x:c>
      <x:c r="E21" s="15" t="n">
        <x:f>SUMIFS(Cash[Расход прибыли],Cash[Дата],"&gt;="&amp;A21,Cash[Дата],"&lt;"&amp;(EOMONTH(A21,0)+1))</x:f>
        <x:v>0</x:v>
      </x:c>
      <x:c r="F21" s="15" t="n">
        <x:f>SUMIFS(Cash[Доход прибыли],Cash[Дата],"&gt;="&amp;A21,Cash[Дата],"&lt;"&amp;(EOMONTH(A21,0)+1))</x:f>
        <x:v>0</x:v>
      </x:c>
      <x:c r="G21" s="15" t="n">
        <x:f>B21-SUM(C21:E21)+F21</x:f>
        <x:v>0</x:v>
      </x:c>
      <x:c r="H21" s="18" t="str">
        <x:f>IF(B21=0,"",G21/B21)</x:f>
      </x:c>
      <x:c r="I21" s="13" t="n">
        <x:f>SUMIFS(Orders[Первый номер],Orders[Дата],"&gt;="&amp;A21,Orders[Дата],"&lt;"&amp;(EOMONTH(A21,0)+1))</x:f>
        <x:v>0</x:v>
      </x:c>
      <x:c r="J21" s="13" t="str">
        <x:f>MONTH(A21)&amp;"."&amp;YEAR(A21)</x:f>
        <x:v>4.2026</x:v>
      </x:c>
      <x:c r="K21" s="1"/>
      <x:c r="L21" s="1"/>
    </x:row>
    <x:row r="22" ht="23" customHeight="1">
      <x:c r="A22" s="23" t="n">
        <x:f>EDATE(DATE(YEAR('Настройки'!$B$5),MONTH('Настройки'!$B$5),1),-6)</x:f>
        <x:v>46143</x:v>
      </x:c>
      <x:c r="B22" s="15" t="n">
        <x:f>SUMIFS(Orders[Выручка],Orders[Дата],"&gt;="&amp;A22,Orders[Дата],"&lt;"&amp;(EOMONTH(A22,0)+1))</x:f>
        <x:v>0</x:v>
      </x:c>
      <x:c r="C22" s="15" t="n">
        <x:f>SUMIFS(Orders[Себестоимость],Orders[Дата],"&gt;="&amp;A22,Orders[Дата],"&lt;"&amp;(EOMONTH(A22,0)+1))</x:f>
        <x:v>0</x:v>
      </x:c>
      <x:c r="D22" s="15" t="n">
        <x:f>SUMIFS(Orders[Комиссия],Orders[Дата],"&gt;="&amp;A22,Orders[Дата],"&lt;"&amp;(EOMONTH(A22,0)+1))+SUMIFS(Orders[Доставка],Orders[Дата],"&gt;="&amp;A22,Orders[Дата],"&lt;"&amp;(EOMONTH(A22,0)+1))+SUMIFS(Orders[Упаковка],Orders[Дата],"&gt;="&amp;A22,Orders[Дата],"&lt;"&amp;(EOMONTH(A22,0)+1))+SUMIFS(Orders[Реклама],Orders[Дата],"&gt;="&amp;A22,Orders[Дата],"&lt;"&amp;(EOMONTH(A22,0)+1))+SUMIFS(Orders[Прочее],Orders[Дата],"&gt;="&amp;A22,Orders[Дата],"&lt;"&amp;(EOMONTH(A22,0)+1))</x:f>
        <x:v>0</x:v>
      </x:c>
      <x:c r="E22" s="15" t="n">
        <x:f>SUMIFS(Cash[Расход прибыли],Cash[Дата],"&gt;="&amp;A22,Cash[Дата],"&lt;"&amp;(EOMONTH(A22,0)+1))</x:f>
        <x:v>0</x:v>
      </x:c>
      <x:c r="F22" s="15" t="n">
        <x:f>SUMIFS(Cash[Доход прибыли],Cash[Дата],"&gt;="&amp;A22,Cash[Дата],"&lt;"&amp;(EOMONTH(A22,0)+1))</x:f>
        <x:v>0</x:v>
      </x:c>
      <x:c r="G22" s="15" t="n">
        <x:f>B22-SUM(C22:E22)+F22</x:f>
        <x:v>0</x:v>
      </x:c>
      <x:c r="H22" s="18" t="str">
        <x:f>IF(B22=0,"",G22/B22)</x:f>
      </x:c>
      <x:c r="I22" s="13" t="n">
        <x:f>SUMIFS(Orders[Первый номер],Orders[Дата],"&gt;="&amp;A22,Orders[Дата],"&lt;"&amp;(EOMONTH(A22,0)+1))</x:f>
        <x:v>0</x:v>
      </x:c>
      <x:c r="J22" s="13" t="str">
        <x:f>MONTH(A22)&amp;"."&amp;YEAR(A22)</x:f>
        <x:v>5.2026</x:v>
      </x:c>
      <x:c r="K22" s="1"/>
      <x:c r="L22" s="1"/>
    </x:row>
    <x:row r="23" ht="23" customHeight="1">
      <x:c r="A23" s="23" t="n">
        <x:f>EDATE(DATE(YEAR('Настройки'!$B$5),MONTH('Настройки'!$B$5),1),-5)</x:f>
        <x:v>46174</x:v>
      </x:c>
      <x:c r="B23" s="15" t="n">
        <x:f>SUMIFS(Orders[Выручка],Orders[Дата],"&gt;="&amp;A23,Orders[Дата],"&lt;"&amp;(EOMONTH(A23,0)+1))</x:f>
        <x:v>0</x:v>
      </x:c>
      <x:c r="C23" s="15" t="n">
        <x:f>SUMIFS(Orders[Себестоимость],Orders[Дата],"&gt;="&amp;A23,Orders[Дата],"&lt;"&amp;(EOMONTH(A23,0)+1))</x:f>
        <x:v>0</x:v>
      </x:c>
      <x:c r="D23" s="15" t="n">
        <x:f>SUMIFS(Orders[Комиссия],Orders[Дата],"&gt;="&amp;A23,Orders[Дата],"&lt;"&amp;(EOMONTH(A23,0)+1))+SUMIFS(Orders[Доставка],Orders[Дата],"&gt;="&amp;A23,Orders[Дата],"&lt;"&amp;(EOMONTH(A23,0)+1))+SUMIFS(Orders[Упаковка],Orders[Дата],"&gt;="&amp;A23,Orders[Дата],"&lt;"&amp;(EOMONTH(A23,0)+1))+SUMIFS(Orders[Реклама],Orders[Дата],"&gt;="&amp;A23,Orders[Дата],"&lt;"&amp;(EOMONTH(A23,0)+1))+SUMIFS(Orders[Прочее],Orders[Дата],"&gt;="&amp;A23,Orders[Дата],"&lt;"&amp;(EOMONTH(A23,0)+1))</x:f>
        <x:v>0</x:v>
      </x:c>
      <x:c r="E23" s="15" t="n">
        <x:f>SUMIFS(Cash[Расход прибыли],Cash[Дата],"&gt;="&amp;A23,Cash[Дата],"&lt;"&amp;(EOMONTH(A23,0)+1))</x:f>
        <x:v>0</x:v>
      </x:c>
      <x:c r="F23" s="15" t="n">
        <x:f>SUMIFS(Cash[Доход прибыли],Cash[Дата],"&gt;="&amp;A23,Cash[Дата],"&lt;"&amp;(EOMONTH(A23,0)+1))</x:f>
        <x:v>0</x:v>
      </x:c>
      <x:c r="G23" s="15" t="n">
        <x:f>B23-SUM(C23:E23)+F23</x:f>
        <x:v>0</x:v>
      </x:c>
      <x:c r="H23" s="18" t="str">
        <x:f>IF(B23=0,"",G23/B23)</x:f>
      </x:c>
      <x:c r="I23" s="13" t="n">
        <x:f>SUMIFS(Orders[Первый номер],Orders[Дата],"&gt;="&amp;A23,Orders[Дата],"&lt;"&amp;(EOMONTH(A23,0)+1))</x:f>
        <x:v>0</x:v>
      </x:c>
      <x:c r="J23" s="13" t="str">
        <x:f>MONTH(A23)&amp;"."&amp;YEAR(A23)</x:f>
        <x:v>6.2026</x:v>
      </x:c>
      <x:c r="K23" s="1"/>
      <x:c r="L23" s="1"/>
    </x:row>
    <x:row r="24" ht="23" customHeight="1">
      <x:c r="A24" s="23" t="n">
        <x:f>EDATE(DATE(YEAR('Настройки'!$B$5),MONTH('Настройки'!$B$5),1),-4)</x:f>
        <x:v>46204</x:v>
      </x:c>
      <x:c r="B24" s="15" t="n">
        <x:f>SUMIFS(Orders[Выручка],Orders[Дата],"&gt;="&amp;A24,Orders[Дата],"&lt;"&amp;(EOMONTH(A24,0)+1))</x:f>
        <x:v>0</x:v>
      </x:c>
      <x:c r="C24" s="15" t="n">
        <x:f>SUMIFS(Orders[Себестоимость],Orders[Дата],"&gt;="&amp;A24,Orders[Дата],"&lt;"&amp;(EOMONTH(A24,0)+1))</x:f>
        <x:v>0</x:v>
      </x:c>
      <x:c r="D24" s="15" t="n">
        <x:f>SUMIFS(Orders[Комиссия],Orders[Дата],"&gt;="&amp;A24,Orders[Дата],"&lt;"&amp;(EOMONTH(A24,0)+1))+SUMIFS(Orders[Доставка],Orders[Дата],"&gt;="&amp;A24,Orders[Дата],"&lt;"&amp;(EOMONTH(A24,0)+1))+SUMIFS(Orders[Упаковка],Orders[Дата],"&gt;="&amp;A24,Orders[Дата],"&lt;"&amp;(EOMONTH(A24,0)+1))+SUMIFS(Orders[Реклама],Orders[Дата],"&gt;="&amp;A24,Orders[Дата],"&lt;"&amp;(EOMONTH(A24,0)+1))+SUMIFS(Orders[Прочее],Orders[Дата],"&gt;="&amp;A24,Orders[Дата],"&lt;"&amp;(EOMONTH(A24,0)+1))</x:f>
        <x:v>0</x:v>
      </x:c>
      <x:c r="E24" s="15" t="n">
        <x:f>SUMIFS(Cash[Расход прибыли],Cash[Дата],"&gt;="&amp;A24,Cash[Дата],"&lt;"&amp;(EOMONTH(A24,0)+1))</x:f>
        <x:v>0</x:v>
      </x:c>
      <x:c r="F24" s="15" t="n">
        <x:f>SUMIFS(Cash[Доход прибыли],Cash[Дата],"&gt;="&amp;A24,Cash[Дата],"&lt;"&amp;(EOMONTH(A24,0)+1))</x:f>
        <x:v>0</x:v>
      </x:c>
      <x:c r="G24" s="15" t="n">
        <x:f>B24-SUM(C24:E24)+F24</x:f>
        <x:v>0</x:v>
      </x:c>
      <x:c r="H24" s="18" t="str">
        <x:f>IF(B24=0,"",G24/B24)</x:f>
      </x:c>
      <x:c r="I24" s="13" t="n">
        <x:f>SUMIFS(Orders[Первый номер],Orders[Дата],"&gt;="&amp;A24,Orders[Дата],"&lt;"&amp;(EOMONTH(A24,0)+1))</x:f>
        <x:v>0</x:v>
      </x:c>
      <x:c r="J24" s="13" t="str">
        <x:f>MONTH(A24)&amp;"."&amp;YEAR(A24)</x:f>
        <x:v>7.2026</x:v>
      </x:c>
      <x:c r="K24" s="1"/>
      <x:c r="L24" s="1"/>
    </x:row>
    <x:row r="25" ht="23" customHeight="1">
      <x:c r="A25" s="23" t="n">
        <x:f>EDATE(DATE(YEAR('Настройки'!$B$5),MONTH('Настройки'!$B$5),1),-3)</x:f>
        <x:v>46235</x:v>
      </x:c>
      <x:c r="B25" s="15" t="n">
        <x:f>SUMIFS(Orders[Выручка],Orders[Дата],"&gt;="&amp;A25,Orders[Дата],"&lt;"&amp;(EOMONTH(A25,0)+1))</x:f>
        <x:v>0</x:v>
      </x:c>
      <x:c r="C25" s="15" t="n">
        <x:f>SUMIFS(Orders[Себестоимость],Orders[Дата],"&gt;="&amp;A25,Orders[Дата],"&lt;"&amp;(EOMONTH(A25,0)+1))</x:f>
        <x:v>0</x:v>
      </x:c>
      <x:c r="D25" s="15" t="n">
        <x:f>SUMIFS(Orders[Комиссия],Orders[Дата],"&gt;="&amp;A25,Orders[Дата],"&lt;"&amp;(EOMONTH(A25,0)+1))+SUMIFS(Orders[Доставка],Orders[Дата],"&gt;="&amp;A25,Orders[Дата],"&lt;"&amp;(EOMONTH(A25,0)+1))+SUMIFS(Orders[Упаковка],Orders[Дата],"&gt;="&amp;A25,Orders[Дата],"&lt;"&amp;(EOMONTH(A25,0)+1))+SUMIFS(Orders[Реклама],Orders[Дата],"&gt;="&amp;A25,Orders[Дата],"&lt;"&amp;(EOMONTH(A25,0)+1))+SUMIFS(Orders[Прочее],Orders[Дата],"&gt;="&amp;A25,Orders[Дата],"&lt;"&amp;(EOMONTH(A25,0)+1))</x:f>
        <x:v>0</x:v>
      </x:c>
      <x:c r="E25" s="15" t="n">
        <x:f>SUMIFS(Cash[Расход прибыли],Cash[Дата],"&gt;="&amp;A25,Cash[Дата],"&lt;"&amp;(EOMONTH(A25,0)+1))</x:f>
        <x:v>0</x:v>
      </x:c>
      <x:c r="F25" s="15" t="n">
        <x:f>SUMIFS(Cash[Доход прибыли],Cash[Дата],"&gt;="&amp;A25,Cash[Дата],"&lt;"&amp;(EOMONTH(A25,0)+1))</x:f>
        <x:v>0</x:v>
      </x:c>
      <x:c r="G25" s="15" t="n">
        <x:f>B25-SUM(C25:E25)+F25</x:f>
        <x:v>0</x:v>
      </x:c>
      <x:c r="H25" s="18" t="str">
        <x:f>IF(B25=0,"",G25/B25)</x:f>
      </x:c>
      <x:c r="I25" s="13" t="n">
        <x:f>SUMIFS(Orders[Первый номер],Orders[Дата],"&gt;="&amp;A25,Orders[Дата],"&lt;"&amp;(EOMONTH(A25,0)+1))</x:f>
        <x:v>0</x:v>
      </x:c>
      <x:c r="J25" s="13" t="str">
        <x:f>MONTH(A25)&amp;"."&amp;YEAR(A25)</x:f>
        <x:v>8.2026</x:v>
      </x:c>
      <x:c r="K25" s="1"/>
      <x:c r="L25" s="1"/>
    </x:row>
    <x:row r="26" ht="23" customHeight="1">
      <x:c r="A26" s="23" t="n">
        <x:f>EDATE(DATE(YEAR('Настройки'!$B$5),MONTH('Настройки'!$B$5),1),-2)</x:f>
        <x:v>46266</x:v>
      </x:c>
      <x:c r="B26" s="15" t="n">
        <x:f>SUMIFS(Orders[Выручка],Orders[Дата],"&gt;="&amp;A26,Orders[Дата],"&lt;"&amp;(EOMONTH(A26,0)+1))</x:f>
        <x:v>0</x:v>
      </x:c>
      <x:c r="C26" s="15" t="n">
        <x:f>SUMIFS(Orders[Себестоимость],Orders[Дата],"&gt;="&amp;A26,Orders[Дата],"&lt;"&amp;(EOMONTH(A26,0)+1))</x:f>
        <x:v>0</x:v>
      </x:c>
      <x:c r="D26" s="15" t="n">
        <x:f>SUMIFS(Orders[Комиссия],Orders[Дата],"&gt;="&amp;A26,Orders[Дата],"&lt;"&amp;(EOMONTH(A26,0)+1))+SUMIFS(Orders[Доставка],Orders[Дата],"&gt;="&amp;A26,Orders[Дата],"&lt;"&amp;(EOMONTH(A26,0)+1))+SUMIFS(Orders[Упаковка],Orders[Дата],"&gt;="&amp;A26,Orders[Дата],"&lt;"&amp;(EOMONTH(A26,0)+1))+SUMIFS(Orders[Реклама],Orders[Дата],"&gt;="&amp;A26,Orders[Дата],"&lt;"&amp;(EOMONTH(A26,0)+1))+SUMIFS(Orders[Прочее],Orders[Дата],"&gt;="&amp;A26,Orders[Дата],"&lt;"&amp;(EOMONTH(A26,0)+1))</x:f>
        <x:v>0</x:v>
      </x:c>
      <x:c r="E26" s="15" t="n">
        <x:f>SUMIFS(Cash[Расход прибыли],Cash[Дата],"&gt;="&amp;A26,Cash[Дата],"&lt;"&amp;(EOMONTH(A26,0)+1))</x:f>
        <x:v>0</x:v>
      </x:c>
      <x:c r="F26" s="15" t="n">
        <x:f>SUMIFS(Cash[Доход прибыли],Cash[Дата],"&gt;="&amp;A26,Cash[Дата],"&lt;"&amp;(EOMONTH(A26,0)+1))</x:f>
        <x:v>0</x:v>
      </x:c>
      <x:c r="G26" s="15" t="n">
        <x:f>B26-SUM(C26:E26)+F26</x:f>
        <x:v>0</x:v>
      </x:c>
      <x:c r="H26" s="18" t="str">
        <x:f>IF(B26=0,"",G26/B26)</x:f>
      </x:c>
      <x:c r="I26" s="13" t="n">
        <x:f>SUMIFS(Orders[Первый номер],Orders[Дата],"&gt;="&amp;A26,Orders[Дата],"&lt;"&amp;(EOMONTH(A26,0)+1))</x:f>
        <x:v>0</x:v>
      </x:c>
      <x:c r="J26" s="13" t="str">
        <x:f>MONTH(A26)&amp;"."&amp;YEAR(A26)</x:f>
        <x:v>9.2026</x:v>
      </x:c>
      <x:c r="K26" s="1"/>
      <x:c r="L26" s="1"/>
    </x:row>
    <x:row r="27" ht="23" customHeight="1">
      <x:c r="A27" s="23" t="n">
        <x:f>EDATE(DATE(YEAR('Настройки'!$B$5),MONTH('Настройки'!$B$5),1),-1)</x:f>
        <x:v>46296</x:v>
      </x:c>
      <x:c r="B27" s="15" t="n">
        <x:f>SUMIFS(Orders[Выручка],Orders[Дата],"&gt;="&amp;A27,Orders[Дата],"&lt;"&amp;(EOMONTH(A27,0)+1))</x:f>
        <x:v>0</x:v>
      </x:c>
      <x:c r="C27" s="15" t="n">
        <x:f>SUMIFS(Orders[Себестоимость],Orders[Дата],"&gt;="&amp;A27,Orders[Дата],"&lt;"&amp;(EOMONTH(A27,0)+1))</x:f>
        <x:v>0</x:v>
      </x:c>
      <x:c r="D27" s="15" t="n">
        <x:f>SUMIFS(Orders[Комиссия],Orders[Дата],"&gt;="&amp;A27,Orders[Дата],"&lt;"&amp;(EOMONTH(A27,0)+1))+SUMIFS(Orders[Доставка],Orders[Дата],"&gt;="&amp;A27,Orders[Дата],"&lt;"&amp;(EOMONTH(A27,0)+1))+SUMIFS(Orders[Упаковка],Orders[Дата],"&gt;="&amp;A27,Orders[Дата],"&lt;"&amp;(EOMONTH(A27,0)+1))+SUMIFS(Orders[Реклама],Orders[Дата],"&gt;="&amp;A27,Orders[Дата],"&lt;"&amp;(EOMONTH(A27,0)+1))+SUMIFS(Orders[Прочее],Orders[Дата],"&gt;="&amp;A27,Orders[Дата],"&lt;"&amp;(EOMONTH(A27,0)+1))</x:f>
        <x:v>0</x:v>
      </x:c>
      <x:c r="E27" s="15" t="n">
        <x:f>SUMIFS(Cash[Расход прибыли],Cash[Дата],"&gt;="&amp;A27,Cash[Дата],"&lt;"&amp;(EOMONTH(A27,0)+1))</x:f>
        <x:v>0</x:v>
      </x:c>
      <x:c r="F27" s="15" t="n">
        <x:f>SUMIFS(Cash[Доход прибыли],Cash[Дата],"&gt;="&amp;A27,Cash[Дата],"&lt;"&amp;(EOMONTH(A27,0)+1))</x:f>
        <x:v>0</x:v>
      </x:c>
      <x:c r="G27" s="15" t="n">
        <x:f>B27-SUM(C27:E27)+F27</x:f>
        <x:v>0</x:v>
      </x:c>
      <x:c r="H27" s="18" t="str">
        <x:f>IF(B27=0,"",G27/B27)</x:f>
      </x:c>
      <x:c r="I27" s="13" t="n">
        <x:f>SUMIFS(Orders[Первый номер],Orders[Дата],"&gt;="&amp;A27,Orders[Дата],"&lt;"&amp;(EOMONTH(A27,0)+1))</x:f>
        <x:v>0</x:v>
      </x:c>
      <x:c r="J27" s="13" t="str">
        <x:f>MONTH(A27)&amp;"."&amp;YEAR(A27)</x:f>
        <x:v>10.2026</x:v>
      </x:c>
      <x:c r="K27" s="1"/>
      <x:c r="L27" s="1"/>
    </x:row>
    <x:row r="28" ht="23" customHeight="1">
      <x:c r="A28" s="23" t="n">
        <x:f>EDATE(DATE(YEAR('Настройки'!$B$5),MONTH('Настройки'!$B$5),1),0)</x:f>
        <x:v>46327</x:v>
      </x:c>
      <x:c r="B28" s="15" t="n">
        <x:f>SUMIFS(Orders[Выручка],Orders[Дата],"&gt;="&amp;A28,Orders[Дата],"&lt;"&amp;(EOMONTH(A28,0)+1))</x:f>
        <x:v>0</x:v>
      </x:c>
      <x:c r="C28" s="15" t="n">
        <x:f>SUMIFS(Orders[Себестоимость],Orders[Дата],"&gt;="&amp;A28,Orders[Дата],"&lt;"&amp;(EOMONTH(A28,0)+1))</x:f>
        <x:v>0</x:v>
      </x:c>
      <x:c r="D28" s="15" t="n">
        <x:f>SUMIFS(Orders[Комиссия],Orders[Дата],"&gt;="&amp;A28,Orders[Дата],"&lt;"&amp;(EOMONTH(A28,0)+1))+SUMIFS(Orders[Доставка],Orders[Дата],"&gt;="&amp;A28,Orders[Дата],"&lt;"&amp;(EOMONTH(A28,0)+1))+SUMIFS(Orders[Упаковка],Orders[Дата],"&gt;="&amp;A28,Orders[Дата],"&lt;"&amp;(EOMONTH(A28,0)+1))+SUMIFS(Orders[Реклама],Orders[Дата],"&gt;="&amp;A28,Orders[Дата],"&lt;"&amp;(EOMONTH(A28,0)+1))+SUMIFS(Orders[Прочее],Orders[Дата],"&gt;="&amp;A28,Orders[Дата],"&lt;"&amp;(EOMONTH(A28,0)+1))</x:f>
        <x:v>0</x:v>
      </x:c>
      <x:c r="E28" s="15" t="n">
        <x:f>SUMIFS(Cash[Расход прибыли],Cash[Дата],"&gt;="&amp;A28,Cash[Дата],"&lt;"&amp;(EOMONTH(A28,0)+1))</x:f>
        <x:v>0</x:v>
      </x:c>
      <x:c r="F28" s="15" t="n">
        <x:f>SUMIFS(Cash[Доход прибыли],Cash[Дата],"&gt;="&amp;A28,Cash[Дата],"&lt;"&amp;(EOMONTH(A28,0)+1))</x:f>
        <x:v>0</x:v>
      </x:c>
      <x:c r="G28" s="15" t="n">
        <x:f>B28-SUM(C28:E28)+F28</x:f>
        <x:v>0</x:v>
      </x:c>
      <x:c r="H28" s="18" t="str">
        <x:f>IF(B28=0,"",G28/B28)</x:f>
      </x:c>
      <x:c r="I28" s="13" t="n">
        <x:f>SUMIFS(Orders[Первый номер],Orders[Дата],"&gt;="&amp;A28,Orders[Дата],"&lt;"&amp;(EOMONTH(A28,0)+1))</x:f>
        <x:v>0</x:v>
      </x:c>
      <x:c r="J28" s="13" t="str">
        <x:f>MONTH(A28)&amp;"."&amp;YEAR(A28)</x:f>
        <x:v>11.2026</x:v>
      </x:c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sheetProtection sheet="1" objects="1" scenarios="1" autoFilter="0" sort="0" selectLockedCells="0" selectUnlockedCells="0"/>
  <x:mergeCells>
    <x:mergeCell ref="A1:L1"/>
    <x:mergeCell ref="A2:L2"/>
  </x:mergeCells>
  <x:pageMargins left="0.7" right="0.7" top="0.75" bottom="0.75" header="0.3" footer="0.3"/>
  <x:tableParts count="1">
    <x:tablePart ns1:id="Rd0f6628d9b2d41f3"/>
  </x:tableParts>
</x:worksheet>
</file>

<file path=xl/worksheets/sheet3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</x:cols>
  <x:sheetData>
    <x:row r="1" ht="34" customHeight="1">
      <x:c r="A1" s="2" t="str">
        <x:v>AutoHome  /  Товары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56" customHeight="1">
      <x:c r="A4" s="9" t="str">
        <x:v>SKU</x:v>
      </x:c>
      <x:c r="B4" s="9" t="str">
        <x:v>Товар</x:v>
      </x:c>
      <x:c r="C4" s="9" t="str">
        <x:v>Статус</x:v>
      </x:c>
      <x:c r="D4" s="9" t="str">
        <x:v>Продажи шт.</x:v>
      </x:c>
      <x:c r="E4" s="9" t="str">
        <x:v>Выручка</x:v>
      </x:c>
      <x:c r="F4" s="9" t="str">
        <x:v>Себестоимость</x:v>
      </x:c>
      <x:c r="G4" s="9" t="str">
        <x:v>Прибыль</x:v>
      </x:c>
      <x:c r="H4" s="9" t="str">
        <x:v>Убыток</x:v>
      </x:c>
      <x:c r="I4" s="9" t="str">
        <x:v>Маржа</x:v>
      </x:c>
      <x:c r="J4" s="9" t="str">
        <x:v>Наценка</x:v>
      </x:c>
      <x:c r="K4" s="9" t="str">
        <x:v>Возвраты шт.</x:v>
      </x:c>
      <x:c r="L4" s="9" t="str">
        <x:v>Отмены шт.</x:v>
      </x:c>
      <x:c r="M4" s="10" t="str">
        <x:v>Средняя цена</x:v>
      </x:c>
      <x:c r="N4" s="10" t="str">
        <x:v>Рентабельность</x:v>
      </x:c>
      <x:c r="O4" s="10" t="str">
        <x:v>Остаток</x:v>
      </x:c>
      <x:c r="P4" s="10" t="str">
        <x:v>Ранг выручки</x:v>
      </x:c>
      <x:c r="Q4" s="10" t="str">
        <x:v>Ранг прибыли</x:v>
      </x:c>
      <x:c r="R4" s="10" t="str">
        <x:v>Ранг маржи</x:v>
      </x:c>
      <x:c r="S4" s="10" t="str">
        <x:v>Ранг наценки</x:v>
      </x:c>
      <x:c r="T4" s="10" t="str">
        <x:v>Ранг убытка</x:v>
      </x:c>
      <x:c r="U4" s="10" t="str">
        <x:v>Ранг возвратов</x:v>
      </x:c>
      <x:c r="V4" s="10" t="str">
        <x:v>Ранг отмен</x:v>
      </x:c>
    </x:row>
    <x:row r="5" ht="23" customHeight="1">
      <x:c r="A5" s="51"/>
      <x:c r="B5" s="51"/>
      <x:c r="C5" s="51"/>
      <x:c r="D5" s="11" t="str">
        <x:f>IF(A5="","",SUMIFS(Orders[Продано шт.],Orders[Дата],"&gt;="&amp;'Настройки'!$B$4,Orders[Дата],"&lt;"&amp;('Настройки'!$B$5+1),Orders[SKU],A5))</x:f>
      </x:c>
      <x:c r="E5" s="16" t="str">
        <x:f>IF(A5="","",SUMIFS(Orders[Выручка],Orders[Дата],"&gt;="&amp;'Настройки'!$B$4,Orders[Дата],"&lt;"&amp;('Настройки'!$B$5+1),Orders[SKU],A5))</x:f>
      </x:c>
      <x:c r="F5" s="16" t="str">
        <x:f>IF(A5="","",SUMIFS(Orders[Себестоимость],Orders[Дата],"&gt;="&amp;'Настройки'!$B$4,Orders[Дата],"&lt;"&amp;('Настройки'!$B$5+1),Orders[SKU],A5))</x:f>
      </x:c>
      <x:c r="G5" s="16" t="str">
        <x:f>IF(A5="","",SUMIFS(Orders[Прибыль],Orders[Дата],"&gt;="&amp;'Настройки'!$B$4,Orders[Дата],"&lt;"&amp;('Настройки'!$B$5+1),Orders[SKU],A5))</x:f>
      </x:c>
      <x:c r="H5" s="16" t="str">
        <x:f>IF(A5="","",MAX(0,-G5))</x:f>
      </x:c>
      <x:c r="I5" s="17" t="str">
        <x:f>IF(A5="","",IF(E5=0,"",G5/E5))</x:f>
      </x:c>
      <x:c r="J5" s="17" t="str">
        <x:f>IF(A5="","",IF(F5=0,"",(E5-F5)/F5))</x:f>
      </x:c>
      <x:c r="K5" s="11" t="str">
        <x:f>IF(A5="","",SUMIFS(Orders[Количество],Orders[Дата],"&gt;="&amp;'Настройки'!$B$4,Orders[Дата],"&lt;"&amp;('Настройки'!$B$5+1),Orders[SKU],A5,Orders[Статус],"Возврат"))</x:f>
      </x:c>
      <x:c r="L5" s="11" t="str">
        <x:f>IF(A5="","",SUMIFS(Orders[Количество],Orders[Дата],"&gt;="&amp;'Настройки'!$B$4,Orders[Дата],"&lt;"&amp;('Настройки'!$B$5+1),Orders[SKU],A5,Orders[Статус],"Отменён"))</x:f>
      </x:c>
      <x:c r="M5" s="16" t="str">
        <x:f>IF(A5="","",IF(D5=0,"",E5/D5))</x:f>
      </x:c>
      <x:c r="N5" s="17" t="str">
        <x:f>IF(A5="","",IF(F5=0,"",G5/F5))</x:f>
      </x:c>
      <x:c r="O5" s="11" t="str">
        <x:f>IF(A5="","",SUMIFS(Stock[Остаток],Stock[SKU],A5))</x:f>
      </x:c>
      <x:c r="P5" s="11" t="str">
        <x:f>IF(OR(A5="",E5=""),"",COUNTIFS(Products[Выручка],"&gt;"&amp;E5)+COUNTIFS($E$5:E5,E5,$A$5:A5,"&lt;&gt;"))</x:f>
      </x:c>
      <x:c r="Q5" s="11" t="str">
        <x:f>IF(OR(A5="",G5=""),"",COUNTIFS(Products[Прибыль],"&gt;"&amp;G5)+COUNTIFS($G$5:G5,G5,$A$5:A5,"&lt;&gt;"))</x:f>
      </x:c>
      <x:c r="R5" s="11" t="str">
        <x:f>IF(OR(A5="",I5=""),"",COUNTIFS(Products[Маржа],"&gt;"&amp;I5)+COUNTIFS($I$5:I5,I5,$A$5:A5,"&lt;&gt;"))</x:f>
      </x:c>
      <x:c r="S5" s="11" t="str">
        <x:f>IF(OR(A5="",J5=""),"",COUNTIFS(Products[Наценка],"&gt;"&amp;J5)+COUNTIFS($J$5:J5,J5,$A$5:A5,"&lt;&gt;"))</x:f>
      </x:c>
      <x:c r="T5" s="11" t="str">
        <x:f>IF(OR(A5="",H5&lt;=0),"",COUNTIFS(Products[Убыток],"&gt;"&amp;H5)+COUNTIFS($H$5:H5,H5,$A$5:A5,"&lt;&gt;"))</x:f>
      </x:c>
      <x:c r="U5" s="11" t="str">
        <x:f>IF(OR(A5="",K5&lt;=0),"",COUNTIFS(Products[Возвраты шт.],"&gt;"&amp;K5)+COUNTIFS($K$5:K5,K5,$A$5:A5,"&lt;&gt;"))</x:f>
      </x:c>
      <x:c r="V5" s="11" t="str">
        <x:f>IF(OR(A5="",L5&lt;=0),"",COUNTIFS(Products[Отмены шт.],"&gt;"&amp;L5)+COUNTIFS($L$5:L5,L5,$A$5:A5,"&lt;&gt;"))</x:f>
      </x:c>
    </x:row>
    <x:row r="6" ht="23" customHeight="1">
      <x:c r="A6" s="51"/>
      <x:c r="B6" s="51"/>
      <x:c r="C6" s="51"/>
      <x:c r="D6" s="11" t="str">
        <x:f>IF(A6="","",SUMIFS(Orders[Продано шт.],Orders[Дата],"&gt;="&amp;'Настройки'!$B$4,Orders[Дата],"&lt;"&amp;('Настройки'!$B$5+1),Orders[SKU],A6))</x:f>
      </x:c>
      <x:c r="E6" s="16" t="str">
        <x:f>IF(A6="","",SUMIFS(Orders[Выручка],Orders[Дата],"&gt;="&amp;'Настройки'!$B$4,Orders[Дата],"&lt;"&amp;('Настройки'!$B$5+1),Orders[SKU],A6))</x:f>
      </x:c>
      <x:c r="F6" s="16" t="str">
        <x:f>IF(A6="","",SUMIFS(Orders[Себестоимость],Orders[Дата],"&gt;="&amp;'Настройки'!$B$4,Orders[Дата],"&lt;"&amp;('Настройки'!$B$5+1),Orders[SKU],A6))</x:f>
      </x:c>
      <x:c r="G6" s="16" t="str">
        <x:f>IF(A6="","",SUMIFS(Orders[Прибыль],Orders[Дата],"&gt;="&amp;'Настройки'!$B$4,Orders[Дата],"&lt;"&amp;('Настройки'!$B$5+1),Orders[SKU],A6))</x:f>
      </x:c>
      <x:c r="H6" s="16" t="str">
        <x:f>IF(A6="","",MAX(0,-G6))</x:f>
      </x:c>
      <x:c r="I6" s="17" t="str">
        <x:f>IF(A6="","",IF(E6=0,"",G6/E6))</x:f>
      </x:c>
      <x:c r="J6" s="17" t="str">
        <x:f>IF(A6="","",IF(F6=0,"",(E6-F6)/F6))</x:f>
      </x:c>
      <x:c r="K6" s="11" t="str">
        <x:f>IF(A6="","",SUMIFS(Orders[Количество],Orders[Дата],"&gt;="&amp;'Настройки'!$B$4,Orders[Дата],"&lt;"&amp;('Настройки'!$B$5+1),Orders[SKU],A6,Orders[Статус],"Возврат"))</x:f>
      </x:c>
      <x:c r="L6" s="11" t="str">
        <x:f>IF(A6="","",SUMIFS(Orders[Количество],Orders[Дата],"&gt;="&amp;'Настройки'!$B$4,Orders[Дата],"&lt;"&amp;('Настройки'!$B$5+1),Orders[SKU],A6,Orders[Статус],"Отменён"))</x:f>
      </x:c>
      <x:c r="M6" s="16" t="str">
        <x:f>IF(A6="","",IF(D6=0,"",E6/D6))</x:f>
      </x:c>
      <x:c r="N6" s="17" t="str">
        <x:f>IF(A6="","",IF(F6=0,"",G6/F6))</x:f>
      </x:c>
      <x:c r="O6" s="11" t="str">
        <x:f>IF(A6="","",SUMIFS(Stock[Остаток],Stock[SKU],A6))</x:f>
      </x:c>
      <x:c r="P6" s="11" t="str">
        <x:f>IF(OR(A6="",E6=""),"",COUNTIFS(Products[Выручка],"&gt;"&amp;E6)+COUNTIFS($E$5:E6,E6,$A$5:A6,"&lt;&gt;"))</x:f>
      </x:c>
      <x:c r="Q6" s="11" t="str">
        <x:f>IF(OR(A6="",G6=""),"",COUNTIFS(Products[Прибыль],"&gt;"&amp;G6)+COUNTIFS($G$5:G6,G6,$A$5:A6,"&lt;&gt;"))</x:f>
      </x:c>
      <x:c r="R6" s="11" t="str">
        <x:f>IF(OR(A6="",I6=""),"",COUNTIFS(Products[Маржа],"&gt;"&amp;I6)+COUNTIFS($I$5:I6,I6,$A$5:A6,"&lt;&gt;"))</x:f>
      </x:c>
      <x:c r="S6" s="11" t="str">
        <x:f>IF(OR(A6="",J6=""),"",COUNTIFS(Products[Наценка],"&gt;"&amp;J6)+COUNTIFS($J$5:J6,J6,$A$5:A6,"&lt;&gt;"))</x:f>
      </x:c>
      <x:c r="T6" s="11" t="str">
        <x:f>IF(OR(A6="",H6&lt;=0),"",COUNTIFS(Products[Убыток],"&gt;"&amp;H6)+COUNTIFS($H$5:H6,H6,$A$5:A6,"&lt;&gt;"))</x:f>
      </x:c>
      <x:c r="U6" s="11" t="str">
        <x:f>IF(OR(A6="",K6&lt;=0),"",COUNTIFS(Products[Возвраты шт.],"&gt;"&amp;K6)+COUNTIFS($K$5:K6,K6,$A$5:A6,"&lt;&gt;"))</x:f>
      </x:c>
      <x:c r="V6" s="11" t="str">
        <x:f>IF(OR(A6="",L6&lt;=0),"",COUNTIFS(Products[Отмены шт.],"&gt;"&amp;L6)+COUNTIFS($L$5:L6,L6,$A$5:A6,"&lt;&gt;"))</x:f>
      </x:c>
    </x:row>
    <x:row r="7" ht="23" customHeight="1">
      <x:c r="A7" s="51"/>
      <x:c r="B7" s="51"/>
      <x:c r="C7" s="51"/>
      <x:c r="D7" s="11" t="str">
        <x:f>IF(A7="","",SUMIFS(Orders[Продано шт.],Orders[Дата],"&gt;="&amp;'Настройки'!$B$4,Orders[Дата],"&lt;"&amp;('Настройки'!$B$5+1),Orders[SKU],A7))</x:f>
      </x:c>
      <x:c r="E7" s="16" t="str">
        <x:f>IF(A7="","",SUMIFS(Orders[Выручка],Orders[Дата],"&gt;="&amp;'Настройки'!$B$4,Orders[Дата],"&lt;"&amp;('Настройки'!$B$5+1),Orders[SKU],A7))</x:f>
      </x:c>
      <x:c r="F7" s="16" t="str">
        <x:f>IF(A7="","",SUMIFS(Orders[Себестоимость],Orders[Дата],"&gt;="&amp;'Настройки'!$B$4,Orders[Дата],"&lt;"&amp;('Настройки'!$B$5+1),Orders[SKU],A7))</x:f>
      </x:c>
      <x:c r="G7" s="16" t="str">
        <x:f>IF(A7="","",SUMIFS(Orders[Прибыль],Orders[Дата],"&gt;="&amp;'Настройки'!$B$4,Orders[Дата],"&lt;"&amp;('Настройки'!$B$5+1),Orders[SKU],A7))</x:f>
      </x:c>
      <x:c r="H7" s="16" t="str">
        <x:f>IF(A7="","",MAX(0,-G7))</x:f>
      </x:c>
      <x:c r="I7" s="17" t="str">
        <x:f>IF(A7="","",IF(E7=0,"",G7/E7))</x:f>
      </x:c>
      <x:c r="J7" s="17" t="str">
        <x:f>IF(A7="","",IF(F7=0,"",(E7-F7)/F7))</x:f>
      </x:c>
      <x:c r="K7" s="11" t="str">
        <x:f>IF(A7="","",SUMIFS(Orders[Количество],Orders[Дата],"&gt;="&amp;'Настройки'!$B$4,Orders[Дата],"&lt;"&amp;('Настройки'!$B$5+1),Orders[SKU],A7,Orders[Статус],"Возврат"))</x:f>
      </x:c>
      <x:c r="L7" s="11" t="str">
        <x:f>IF(A7="","",SUMIFS(Orders[Количество],Orders[Дата],"&gt;="&amp;'Настройки'!$B$4,Orders[Дата],"&lt;"&amp;('Настройки'!$B$5+1),Orders[SKU],A7,Orders[Статус],"Отменён"))</x:f>
      </x:c>
      <x:c r="M7" s="16" t="str">
        <x:f>IF(A7="","",IF(D7=0,"",E7/D7))</x:f>
      </x:c>
      <x:c r="N7" s="17" t="str">
        <x:f>IF(A7="","",IF(F7=0,"",G7/F7))</x:f>
      </x:c>
      <x:c r="O7" s="11" t="str">
        <x:f>IF(A7="","",SUMIFS(Stock[Остаток],Stock[SKU],A7))</x:f>
      </x:c>
      <x:c r="P7" s="11" t="str">
        <x:f>IF(OR(A7="",E7=""),"",COUNTIFS(Products[Выручка],"&gt;"&amp;E7)+COUNTIFS($E$5:E7,E7,$A$5:A7,"&lt;&gt;"))</x:f>
      </x:c>
      <x:c r="Q7" s="11" t="str">
        <x:f>IF(OR(A7="",G7=""),"",COUNTIFS(Products[Прибыль],"&gt;"&amp;G7)+COUNTIFS($G$5:G7,G7,$A$5:A7,"&lt;&gt;"))</x:f>
      </x:c>
      <x:c r="R7" s="11" t="str">
        <x:f>IF(OR(A7="",I7=""),"",COUNTIFS(Products[Маржа],"&gt;"&amp;I7)+COUNTIFS($I$5:I7,I7,$A$5:A7,"&lt;&gt;"))</x:f>
      </x:c>
      <x:c r="S7" s="11" t="str">
        <x:f>IF(OR(A7="",J7=""),"",COUNTIFS(Products[Наценка],"&gt;"&amp;J7)+COUNTIFS($J$5:J7,J7,$A$5:A7,"&lt;&gt;"))</x:f>
      </x:c>
      <x:c r="T7" s="11" t="str">
        <x:f>IF(OR(A7="",H7&lt;=0),"",COUNTIFS(Products[Убыток],"&gt;"&amp;H7)+COUNTIFS($H$5:H7,H7,$A$5:A7,"&lt;&gt;"))</x:f>
      </x:c>
      <x:c r="U7" s="11" t="str">
        <x:f>IF(OR(A7="",K7&lt;=0),"",COUNTIFS(Products[Возвраты шт.],"&gt;"&amp;K7)+COUNTIFS($K$5:K7,K7,$A$5:A7,"&lt;&gt;"))</x:f>
      </x:c>
      <x:c r="V7" s="11" t="str">
        <x:f>IF(OR(A7="",L7&lt;=0),"",COUNTIFS(Products[Отмены шт.],"&gt;"&amp;L7)+COUNTIFS($L$5:L7,L7,$A$5:A7,"&lt;&gt;"))</x:f>
      </x:c>
    </x:row>
    <x:row r="8" ht="23" customHeight="1">
      <x:c r="A8" s="51"/>
      <x:c r="B8" s="51"/>
      <x:c r="C8" s="51"/>
      <x:c r="D8" s="11" t="str">
        <x:f>IF(A8="","",SUMIFS(Orders[Продано шт.],Orders[Дата],"&gt;="&amp;'Настройки'!$B$4,Orders[Дата],"&lt;"&amp;('Настройки'!$B$5+1),Orders[SKU],A8))</x:f>
      </x:c>
      <x:c r="E8" s="16" t="str">
        <x:f>IF(A8="","",SUMIFS(Orders[Выручка],Orders[Дата],"&gt;="&amp;'Настройки'!$B$4,Orders[Дата],"&lt;"&amp;('Настройки'!$B$5+1),Orders[SKU],A8))</x:f>
      </x:c>
      <x:c r="F8" s="16" t="str">
        <x:f>IF(A8="","",SUMIFS(Orders[Себестоимость],Orders[Дата],"&gt;="&amp;'Настройки'!$B$4,Orders[Дата],"&lt;"&amp;('Настройки'!$B$5+1),Orders[SKU],A8))</x:f>
      </x:c>
      <x:c r="G8" s="16" t="str">
        <x:f>IF(A8="","",SUMIFS(Orders[Прибыль],Orders[Дата],"&gt;="&amp;'Настройки'!$B$4,Orders[Дата],"&lt;"&amp;('Настройки'!$B$5+1),Orders[SKU],A8))</x:f>
      </x:c>
      <x:c r="H8" s="16" t="str">
        <x:f>IF(A8="","",MAX(0,-G8))</x:f>
      </x:c>
      <x:c r="I8" s="17" t="str">
        <x:f>IF(A8="","",IF(E8=0,"",G8/E8))</x:f>
      </x:c>
      <x:c r="J8" s="17" t="str">
        <x:f>IF(A8="","",IF(F8=0,"",(E8-F8)/F8))</x:f>
      </x:c>
      <x:c r="K8" s="11" t="str">
        <x:f>IF(A8="","",SUMIFS(Orders[Количество],Orders[Дата],"&gt;="&amp;'Настройки'!$B$4,Orders[Дата],"&lt;"&amp;('Настройки'!$B$5+1),Orders[SKU],A8,Orders[Статус],"Возврат"))</x:f>
      </x:c>
      <x:c r="L8" s="11" t="str">
        <x:f>IF(A8="","",SUMIFS(Orders[Количество],Orders[Дата],"&gt;="&amp;'Настройки'!$B$4,Orders[Дата],"&lt;"&amp;('Настройки'!$B$5+1),Orders[SKU],A8,Orders[Статус],"Отменён"))</x:f>
      </x:c>
      <x:c r="M8" s="16" t="str">
        <x:f>IF(A8="","",IF(D8=0,"",E8/D8))</x:f>
      </x:c>
      <x:c r="N8" s="17" t="str">
        <x:f>IF(A8="","",IF(F8=0,"",G8/F8))</x:f>
      </x:c>
      <x:c r="O8" s="11" t="str">
        <x:f>IF(A8="","",SUMIFS(Stock[Остаток],Stock[SKU],A8))</x:f>
      </x:c>
      <x:c r="P8" s="11" t="str">
        <x:f>IF(OR(A8="",E8=""),"",COUNTIFS(Products[Выручка],"&gt;"&amp;E8)+COUNTIFS($E$5:E8,E8,$A$5:A8,"&lt;&gt;"))</x:f>
      </x:c>
      <x:c r="Q8" s="11" t="str">
        <x:f>IF(OR(A8="",G8=""),"",COUNTIFS(Products[Прибыль],"&gt;"&amp;G8)+COUNTIFS($G$5:G8,G8,$A$5:A8,"&lt;&gt;"))</x:f>
      </x:c>
      <x:c r="R8" s="11" t="str">
        <x:f>IF(OR(A8="",I8=""),"",COUNTIFS(Products[Маржа],"&gt;"&amp;I8)+COUNTIFS($I$5:I8,I8,$A$5:A8,"&lt;&gt;"))</x:f>
      </x:c>
      <x:c r="S8" s="11" t="str">
        <x:f>IF(OR(A8="",J8=""),"",COUNTIFS(Products[Наценка],"&gt;"&amp;J8)+COUNTIFS($J$5:J8,J8,$A$5:A8,"&lt;&gt;"))</x:f>
      </x:c>
      <x:c r="T8" s="11" t="str">
        <x:f>IF(OR(A8="",H8&lt;=0),"",COUNTIFS(Products[Убыток],"&gt;"&amp;H8)+COUNTIFS($H$5:H8,H8,$A$5:A8,"&lt;&gt;"))</x:f>
      </x:c>
      <x:c r="U8" s="11" t="str">
        <x:f>IF(OR(A8="",K8&lt;=0),"",COUNTIFS(Products[Возвраты шт.],"&gt;"&amp;K8)+COUNTIFS($K$5:K8,K8,$A$5:A8,"&lt;&gt;"))</x:f>
      </x:c>
      <x:c r="V8" s="11" t="str">
        <x:f>IF(OR(A8="",L8&lt;=0),"",COUNTIFS(Products[Отмены шт.],"&gt;"&amp;L8)+COUNTIFS($L$5:L8,L8,$A$5:A8,"&lt;&gt;"))</x:f>
      </x:c>
    </x:row>
    <x:row r="9" ht="23" customHeight="1">
      <x:c r="A9" s="51"/>
      <x:c r="B9" s="51"/>
      <x:c r="C9" s="51"/>
      <x:c r="D9" s="11" t="str">
        <x:f>IF(A9="","",SUMIFS(Orders[Продано шт.],Orders[Дата],"&gt;="&amp;'Настройки'!$B$4,Orders[Дата],"&lt;"&amp;('Настройки'!$B$5+1),Orders[SKU],A9))</x:f>
      </x:c>
      <x:c r="E9" s="16" t="str">
        <x:f>IF(A9="","",SUMIFS(Orders[Выручка],Orders[Дата],"&gt;="&amp;'Настройки'!$B$4,Orders[Дата],"&lt;"&amp;('Настройки'!$B$5+1),Orders[SKU],A9))</x:f>
      </x:c>
      <x:c r="F9" s="16" t="str">
        <x:f>IF(A9="","",SUMIFS(Orders[Себестоимость],Orders[Дата],"&gt;="&amp;'Настройки'!$B$4,Orders[Дата],"&lt;"&amp;('Настройки'!$B$5+1),Orders[SKU],A9))</x:f>
      </x:c>
      <x:c r="G9" s="16" t="str">
        <x:f>IF(A9="","",SUMIFS(Orders[Прибыль],Orders[Дата],"&gt;="&amp;'Настройки'!$B$4,Orders[Дата],"&lt;"&amp;('Настройки'!$B$5+1),Orders[SKU],A9))</x:f>
      </x:c>
      <x:c r="H9" s="16" t="str">
        <x:f>IF(A9="","",MAX(0,-G9))</x:f>
      </x:c>
      <x:c r="I9" s="17" t="str">
        <x:f>IF(A9="","",IF(E9=0,"",G9/E9))</x:f>
      </x:c>
      <x:c r="J9" s="17" t="str">
        <x:f>IF(A9="","",IF(F9=0,"",(E9-F9)/F9))</x:f>
      </x:c>
      <x:c r="K9" s="11" t="str">
        <x:f>IF(A9="","",SUMIFS(Orders[Количество],Orders[Дата],"&gt;="&amp;'Настройки'!$B$4,Orders[Дата],"&lt;"&amp;('Настройки'!$B$5+1),Orders[SKU],A9,Orders[Статус],"Возврат"))</x:f>
      </x:c>
      <x:c r="L9" s="11" t="str">
        <x:f>IF(A9="","",SUMIFS(Orders[Количество],Orders[Дата],"&gt;="&amp;'Настройки'!$B$4,Orders[Дата],"&lt;"&amp;('Настройки'!$B$5+1),Orders[SKU],A9,Orders[Статус],"Отменён"))</x:f>
      </x:c>
      <x:c r="M9" s="16" t="str">
        <x:f>IF(A9="","",IF(D9=0,"",E9/D9))</x:f>
      </x:c>
      <x:c r="N9" s="17" t="str">
        <x:f>IF(A9="","",IF(F9=0,"",G9/F9))</x:f>
      </x:c>
      <x:c r="O9" s="11" t="str">
        <x:f>IF(A9="","",SUMIFS(Stock[Остаток],Stock[SKU],A9))</x:f>
      </x:c>
      <x:c r="P9" s="11" t="str">
        <x:f>IF(OR(A9="",E9=""),"",COUNTIFS(Products[Выручка],"&gt;"&amp;E9)+COUNTIFS($E$5:E9,E9,$A$5:A9,"&lt;&gt;"))</x:f>
      </x:c>
      <x:c r="Q9" s="11" t="str">
        <x:f>IF(OR(A9="",G9=""),"",COUNTIFS(Products[Прибыль],"&gt;"&amp;G9)+COUNTIFS($G$5:G9,G9,$A$5:A9,"&lt;&gt;"))</x:f>
      </x:c>
      <x:c r="R9" s="11" t="str">
        <x:f>IF(OR(A9="",I9=""),"",COUNTIFS(Products[Маржа],"&gt;"&amp;I9)+COUNTIFS($I$5:I9,I9,$A$5:A9,"&lt;&gt;"))</x:f>
      </x:c>
      <x:c r="S9" s="11" t="str">
        <x:f>IF(OR(A9="",J9=""),"",COUNTIFS(Products[Наценка],"&gt;"&amp;J9)+COUNTIFS($J$5:J9,J9,$A$5:A9,"&lt;&gt;"))</x:f>
      </x:c>
      <x:c r="T9" s="11" t="str">
        <x:f>IF(OR(A9="",H9&lt;=0),"",COUNTIFS(Products[Убыток],"&gt;"&amp;H9)+COUNTIFS($H$5:H9,H9,$A$5:A9,"&lt;&gt;"))</x:f>
      </x:c>
      <x:c r="U9" s="11" t="str">
        <x:f>IF(OR(A9="",K9&lt;=0),"",COUNTIFS(Products[Возвраты шт.],"&gt;"&amp;K9)+COUNTIFS($K$5:K9,K9,$A$5:A9,"&lt;&gt;"))</x:f>
      </x:c>
      <x:c r="V9" s="11" t="str">
        <x:f>IF(OR(A9="",L9&lt;=0),"",COUNTIFS(Products[Отмены шт.],"&gt;"&amp;L9)+COUNTIFS($L$5:L9,L9,$A$5:A9,"&lt;&gt;"))</x:f>
      </x:c>
    </x:row>
    <x:row r="10" ht="23" customHeight="1">
      <x:c r="A10" s="51"/>
      <x:c r="B10" s="51"/>
      <x:c r="C10" s="51"/>
      <x:c r="D10" s="11" t="str">
        <x:f>IF(A10="","",SUMIFS(Orders[Продано шт.],Orders[Дата],"&gt;="&amp;'Настройки'!$B$4,Orders[Дата],"&lt;"&amp;('Настройки'!$B$5+1),Orders[SKU],A10))</x:f>
      </x:c>
      <x:c r="E10" s="16" t="str">
        <x:f>IF(A10="","",SUMIFS(Orders[Выручка],Orders[Дата],"&gt;="&amp;'Настройки'!$B$4,Orders[Дата],"&lt;"&amp;('Настройки'!$B$5+1),Orders[SKU],A10))</x:f>
      </x:c>
      <x:c r="F10" s="16" t="str">
        <x:f>IF(A10="","",SUMIFS(Orders[Себестоимость],Orders[Дата],"&gt;="&amp;'Настройки'!$B$4,Orders[Дата],"&lt;"&amp;('Настройки'!$B$5+1),Orders[SKU],A10))</x:f>
      </x:c>
      <x:c r="G10" s="16" t="str">
        <x:f>IF(A10="","",SUMIFS(Orders[Прибыль],Orders[Дата],"&gt;="&amp;'Настройки'!$B$4,Orders[Дата],"&lt;"&amp;('Настройки'!$B$5+1),Orders[SKU],A10))</x:f>
      </x:c>
      <x:c r="H10" s="16" t="str">
        <x:f>IF(A10="","",MAX(0,-G10))</x:f>
      </x:c>
      <x:c r="I10" s="17" t="str">
        <x:f>IF(A10="","",IF(E10=0,"",G10/E10))</x:f>
      </x:c>
      <x:c r="J10" s="17" t="str">
        <x:f>IF(A10="","",IF(F10=0,"",(E10-F10)/F10))</x:f>
      </x:c>
      <x:c r="K10" s="11" t="str">
        <x:f>IF(A10="","",SUMIFS(Orders[Количество],Orders[Дата],"&gt;="&amp;'Настройки'!$B$4,Orders[Дата],"&lt;"&amp;('Настройки'!$B$5+1),Orders[SKU],A10,Orders[Статус],"Возврат"))</x:f>
      </x:c>
      <x:c r="L10" s="11" t="str">
        <x:f>IF(A10="","",SUMIFS(Orders[Количество],Orders[Дата],"&gt;="&amp;'Настройки'!$B$4,Orders[Дата],"&lt;"&amp;('Настройки'!$B$5+1),Orders[SKU],A10,Orders[Статус],"Отменён"))</x:f>
      </x:c>
      <x:c r="M10" s="16" t="str">
        <x:f>IF(A10="","",IF(D10=0,"",E10/D10))</x:f>
      </x:c>
      <x:c r="N10" s="17" t="str">
        <x:f>IF(A10="","",IF(F10=0,"",G10/F10))</x:f>
      </x:c>
      <x:c r="O10" s="11" t="str">
        <x:f>IF(A10="","",SUMIFS(Stock[Остаток],Stock[SKU],A10))</x:f>
      </x:c>
      <x:c r="P10" s="11" t="str">
        <x:f>IF(OR(A10="",E10=""),"",COUNTIFS(Products[Выручка],"&gt;"&amp;E10)+COUNTIFS($E$5:E10,E10,$A$5:A10,"&lt;&gt;"))</x:f>
      </x:c>
      <x:c r="Q10" s="11" t="str">
        <x:f>IF(OR(A10="",G10=""),"",COUNTIFS(Products[Прибыль],"&gt;"&amp;G10)+COUNTIFS($G$5:G10,G10,$A$5:A10,"&lt;&gt;"))</x:f>
      </x:c>
      <x:c r="R10" s="11" t="str">
        <x:f>IF(OR(A10="",I10=""),"",COUNTIFS(Products[Маржа],"&gt;"&amp;I10)+COUNTIFS($I$5:I10,I10,$A$5:A10,"&lt;&gt;"))</x:f>
      </x:c>
      <x:c r="S10" s="11" t="str">
        <x:f>IF(OR(A10="",J10=""),"",COUNTIFS(Products[Наценка],"&gt;"&amp;J10)+COUNTIFS($J$5:J10,J10,$A$5:A10,"&lt;&gt;"))</x:f>
      </x:c>
      <x:c r="T10" s="11" t="str">
        <x:f>IF(OR(A10="",H10&lt;=0),"",COUNTIFS(Products[Убыток],"&gt;"&amp;H10)+COUNTIFS($H$5:H10,H10,$A$5:A10,"&lt;&gt;"))</x:f>
      </x:c>
      <x:c r="U10" s="11" t="str">
        <x:f>IF(OR(A10="",K10&lt;=0),"",COUNTIFS(Products[Возвраты шт.],"&gt;"&amp;K10)+COUNTIFS($K$5:K10,K10,$A$5:A10,"&lt;&gt;"))</x:f>
      </x:c>
      <x:c r="V10" s="11" t="str">
        <x:f>IF(OR(A10="",L10&lt;=0),"",COUNTIFS(Products[Отмены шт.],"&gt;"&amp;L10)+COUNTIFS($L$5:L10,L10,$A$5:A10,"&lt;&gt;"))</x:f>
      </x:c>
    </x:row>
    <x:row r="11" ht="23" customHeight="1">
      <x:c r="A11" s="51"/>
      <x:c r="B11" s="51"/>
      <x:c r="C11" s="51"/>
      <x:c r="D11" s="11" t="str">
        <x:f>IF(A11="","",SUMIFS(Orders[Продано шт.],Orders[Дата],"&gt;="&amp;'Настройки'!$B$4,Orders[Дата],"&lt;"&amp;('Настройки'!$B$5+1),Orders[SKU],A11))</x:f>
      </x:c>
      <x:c r="E11" s="16" t="str">
        <x:f>IF(A11="","",SUMIFS(Orders[Выручка],Orders[Дата],"&gt;="&amp;'Настройки'!$B$4,Orders[Дата],"&lt;"&amp;('Настройки'!$B$5+1),Orders[SKU],A11))</x:f>
      </x:c>
      <x:c r="F11" s="16" t="str">
        <x:f>IF(A11="","",SUMIFS(Orders[Себестоимость],Orders[Дата],"&gt;="&amp;'Настройки'!$B$4,Orders[Дата],"&lt;"&amp;('Настройки'!$B$5+1),Orders[SKU],A11))</x:f>
      </x:c>
      <x:c r="G11" s="16" t="str">
        <x:f>IF(A11="","",SUMIFS(Orders[Прибыль],Orders[Дата],"&gt;="&amp;'Настройки'!$B$4,Orders[Дата],"&lt;"&amp;('Настройки'!$B$5+1),Orders[SKU],A11))</x:f>
      </x:c>
      <x:c r="H11" s="16" t="str">
        <x:f>IF(A11="","",MAX(0,-G11))</x:f>
      </x:c>
      <x:c r="I11" s="17" t="str">
        <x:f>IF(A11="","",IF(E11=0,"",G11/E11))</x:f>
      </x:c>
      <x:c r="J11" s="17" t="str">
        <x:f>IF(A11="","",IF(F11=0,"",(E11-F11)/F11))</x:f>
      </x:c>
      <x:c r="K11" s="11" t="str">
        <x:f>IF(A11="","",SUMIFS(Orders[Количество],Orders[Дата],"&gt;="&amp;'Настройки'!$B$4,Orders[Дата],"&lt;"&amp;('Настройки'!$B$5+1),Orders[SKU],A11,Orders[Статус],"Возврат"))</x:f>
      </x:c>
      <x:c r="L11" s="11" t="str">
        <x:f>IF(A11="","",SUMIFS(Orders[Количество],Orders[Дата],"&gt;="&amp;'Настройки'!$B$4,Orders[Дата],"&lt;"&amp;('Настройки'!$B$5+1),Orders[SKU],A11,Orders[Статус],"Отменён"))</x:f>
      </x:c>
      <x:c r="M11" s="16" t="str">
        <x:f>IF(A11="","",IF(D11=0,"",E11/D11))</x:f>
      </x:c>
      <x:c r="N11" s="17" t="str">
        <x:f>IF(A11="","",IF(F11=0,"",G11/F11))</x:f>
      </x:c>
      <x:c r="O11" s="11" t="str">
        <x:f>IF(A11="","",SUMIFS(Stock[Остаток],Stock[SKU],A11))</x:f>
      </x:c>
      <x:c r="P11" s="11" t="str">
        <x:f>IF(OR(A11="",E11=""),"",COUNTIFS(Products[Выручка],"&gt;"&amp;E11)+COUNTIFS($E$5:E11,E11,$A$5:A11,"&lt;&gt;"))</x:f>
      </x:c>
      <x:c r="Q11" s="11" t="str">
        <x:f>IF(OR(A11="",G11=""),"",COUNTIFS(Products[Прибыль],"&gt;"&amp;G11)+COUNTIFS($G$5:G11,G11,$A$5:A11,"&lt;&gt;"))</x:f>
      </x:c>
      <x:c r="R11" s="11" t="str">
        <x:f>IF(OR(A11="",I11=""),"",COUNTIFS(Products[Маржа],"&gt;"&amp;I11)+COUNTIFS($I$5:I11,I11,$A$5:A11,"&lt;&gt;"))</x:f>
      </x:c>
      <x:c r="S11" s="11" t="str">
        <x:f>IF(OR(A11="",J11=""),"",COUNTIFS(Products[Наценка],"&gt;"&amp;J11)+COUNTIFS($J$5:J11,J11,$A$5:A11,"&lt;&gt;"))</x:f>
      </x:c>
      <x:c r="T11" s="11" t="str">
        <x:f>IF(OR(A11="",H11&lt;=0),"",COUNTIFS(Products[Убыток],"&gt;"&amp;H11)+COUNTIFS($H$5:H11,H11,$A$5:A11,"&lt;&gt;"))</x:f>
      </x:c>
      <x:c r="U11" s="11" t="str">
        <x:f>IF(OR(A11="",K11&lt;=0),"",COUNTIFS(Products[Возвраты шт.],"&gt;"&amp;K11)+COUNTIFS($K$5:K11,K11,$A$5:A11,"&lt;&gt;"))</x:f>
      </x:c>
      <x:c r="V11" s="11" t="str">
        <x:f>IF(OR(A11="",L11&lt;=0),"",COUNTIFS(Products[Отмены шт.],"&gt;"&amp;L11)+COUNTIFS($L$5:L11,L11,$A$5:A11,"&lt;&gt;"))</x:f>
      </x:c>
    </x:row>
    <x:row r="12" ht="23" customHeight="1">
      <x:c r="A12" s="51"/>
      <x:c r="B12" s="51"/>
      <x:c r="C12" s="51"/>
      <x:c r="D12" s="11" t="str">
        <x:f>IF(A12="","",SUMIFS(Orders[Продано шт.],Orders[Дата],"&gt;="&amp;'Настройки'!$B$4,Orders[Дата],"&lt;"&amp;('Настройки'!$B$5+1),Orders[SKU],A12))</x:f>
      </x:c>
      <x:c r="E12" s="16" t="str">
        <x:f>IF(A12="","",SUMIFS(Orders[Выручка],Orders[Дата],"&gt;="&amp;'Настройки'!$B$4,Orders[Дата],"&lt;"&amp;('Настройки'!$B$5+1),Orders[SKU],A12))</x:f>
      </x:c>
      <x:c r="F12" s="16" t="str">
        <x:f>IF(A12="","",SUMIFS(Orders[Себестоимость],Orders[Дата],"&gt;="&amp;'Настройки'!$B$4,Orders[Дата],"&lt;"&amp;('Настройки'!$B$5+1),Orders[SKU],A12))</x:f>
      </x:c>
      <x:c r="G12" s="16" t="str">
        <x:f>IF(A12="","",SUMIFS(Orders[Прибыль],Orders[Дата],"&gt;="&amp;'Настройки'!$B$4,Orders[Дата],"&lt;"&amp;('Настройки'!$B$5+1),Orders[SKU],A12))</x:f>
      </x:c>
      <x:c r="H12" s="16" t="str">
        <x:f>IF(A12="","",MAX(0,-G12))</x:f>
      </x:c>
      <x:c r="I12" s="17" t="str">
        <x:f>IF(A12="","",IF(E12=0,"",G12/E12))</x:f>
      </x:c>
      <x:c r="J12" s="17" t="str">
        <x:f>IF(A12="","",IF(F12=0,"",(E12-F12)/F12))</x:f>
      </x:c>
      <x:c r="K12" s="11" t="str">
        <x:f>IF(A12="","",SUMIFS(Orders[Количество],Orders[Дата],"&gt;="&amp;'Настройки'!$B$4,Orders[Дата],"&lt;"&amp;('Настройки'!$B$5+1),Orders[SKU],A12,Orders[Статус],"Возврат"))</x:f>
      </x:c>
      <x:c r="L12" s="11" t="str">
        <x:f>IF(A12="","",SUMIFS(Orders[Количество],Orders[Дата],"&gt;="&amp;'Настройки'!$B$4,Orders[Дата],"&lt;"&amp;('Настройки'!$B$5+1),Orders[SKU],A12,Orders[Статус],"Отменён"))</x:f>
      </x:c>
      <x:c r="M12" s="16" t="str">
        <x:f>IF(A12="","",IF(D12=0,"",E12/D12))</x:f>
      </x:c>
      <x:c r="N12" s="17" t="str">
        <x:f>IF(A12="","",IF(F12=0,"",G12/F12))</x:f>
      </x:c>
      <x:c r="O12" s="11" t="str">
        <x:f>IF(A12="","",SUMIFS(Stock[Остаток],Stock[SKU],A12))</x:f>
      </x:c>
      <x:c r="P12" s="11" t="str">
        <x:f>IF(OR(A12="",E12=""),"",COUNTIFS(Products[Выручка],"&gt;"&amp;E12)+COUNTIFS($E$5:E12,E12,$A$5:A12,"&lt;&gt;"))</x:f>
      </x:c>
      <x:c r="Q12" s="11" t="str">
        <x:f>IF(OR(A12="",G12=""),"",COUNTIFS(Products[Прибыль],"&gt;"&amp;G12)+COUNTIFS($G$5:G12,G12,$A$5:A12,"&lt;&gt;"))</x:f>
      </x:c>
      <x:c r="R12" s="11" t="str">
        <x:f>IF(OR(A12="",I12=""),"",COUNTIFS(Products[Маржа],"&gt;"&amp;I12)+COUNTIFS($I$5:I12,I12,$A$5:A12,"&lt;&gt;"))</x:f>
      </x:c>
      <x:c r="S12" s="11" t="str">
        <x:f>IF(OR(A12="",J12=""),"",COUNTIFS(Products[Наценка],"&gt;"&amp;J12)+COUNTIFS($J$5:J12,J12,$A$5:A12,"&lt;&gt;"))</x:f>
      </x:c>
      <x:c r="T12" s="11" t="str">
        <x:f>IF(OR(A12="",H12&lt;=0),"",COUNTIFS(Products[Убыток],"&gt;"&amp;H12)+COUNTIFS($H$5:H12,H12,$A$5:A12,"&lt;&gt;"))</x:f>
      </x:c>
      <x:c r="U12" s="11" t="str">
        <x:f>IF(OR(A12="",K12&lt;=0),"",COUNTIFS(Products[Возвраты шт.],"&gt;"&amp;K12)+COUNTIFS($K$5:K12,K12,$A$5:A12,"&lt;&gt;"))</x:f>
      </x:c>
      <x:c r="V12" s="11" t="str">
        <x:f>IF(OR(A12="",L12&lt;=0),"",COUNTIFS(Products[Отмены шт.],"&gt;"&amp;L12)+COUNTIFS($L$5:L12,L12,$A$5:A12,"&lt;&gt;"))</x:f>
      </x:c>
    </x:row>
    <x:row r="13" ht="23" customHeight="1">
      <x:c r="A13" s="51"/>
      <x:c r="B13" s="51"/>
      <x:c r="C13" s="51"/>
      <x:c r="D13" s="11" t="str">
        <x:f>IF(A13="","",SUMIFS(Orders[Продано шт.],Orders[Дата],"&gt;="&amp;'Настройки'!$B$4,Orders[Дата],"&lt;"&amp;('Настройки'!$B$5+1),Orders[SKU],A13))</x:f>
      </x:c>
      <x:c r="E13" s="16" t="str">
        <x:f>IF(A13="","",SUMIFS(Orders[Выручка],Orders[Дата],"&gt;="&amp;'Настройки'!$B$4,Orders[Дата],"&lt;"&amp;('Настройки'!$B$5+1),Orders[SKU],A13))</x:f>
      </x:c>
      <x:c r="F13" s="16" t="str">
        <x:f>IF(A13="","",SUMIFS(Orders[Себестоимость],Orders[Дата],"&gt;="&amp;'Настройки'!$B$4,Orders[Дата],"&lt;"&amp;('Настройки'!$B$5+1),Orders[SKU],A13))</x:f>
      </x:c>
      <x:c r="G13" s="16" t="str">
        <x:f>IF(A13="","",SUMIFS(Orders[Прибыль],Orders[Дата],"&gt;="&amp;'Настройки'!$B$4,Orders[Дата],"&lt;"&amp;('Настройки'!$B$5+1),Orders[SKU],A13))</x:f>
      </x:c>
      <x:c r="H13" s="16" t="str">
        <x:f>IF(A13="","",MAX(0,-G13))</x:f>
      </x:c>
      <x:c r="I13" s="17" t="str">
        <x:f>IF(A13="","",IF(E13=0,"",G13/E13))</x:f>
      </x:c>
      <x:c r="J13" s="17" t="str">
        <x:f>IF(A13="","",IF(F13=0,"",(E13-F13)/F13))</x:f>
      </x:c>
      <x:c r="K13" s="11" t="str">
        <x:f>IF(A13="","",SUMIFS(Orders[Количество],Orders[Дата],"&gt;="&amp;'Настройки'!$B$4,Orders[Дата],"&lt;"&amp;('Настройки'!$B$5+1),Orders[SKU],A13,Orders[Статус],"Возврат"))</x:f>
      </x:c>
      <x:c r="L13" s="11" t="str">
        <x:f>IF(A13="","",SUMIFS(Orders[Количество],Orders[Дата],"&gt;="&amp;'Настройки'!$B$4,Orders[Дата],"&lt;"&amp;('Настройки'!$B$5+1),Orders[SKU],A13,Orders[Статус],"Отменён"))</x:f>
      </x:c>
      <x:c r="M13" s="16" t="str">
        <x:f>IF(A13="","",IF(D13=0,"",E13/D13))</x:f>
      </x:c>
      <x:c r="N13" s="17" t="str">
        <x:f>IF(A13="","",IF(F13=0,"",G13/F13))</x:f>
      </x:c>
      <x:c r="O13" s="11" t="str">
        <x:f>IF(A13="","",SUMIFS(Stock[Остаток],Stock[SKU],A13))</x:f>
      </x:c>
      <x:c r="P13" s="11" t="str">
        <x:f>IF(OR(A13="",E13=""),"",COUNTIFS(Products[Выручка],"&gt;"&amp;E13)+COUNTIFS($E$5:E13,E13,$A$5:A13,"&lt;&gt;"))</x:f>
      </x:c>
      <x:c r="Q13" s="11" t="str">
        <x:f>IF(OR(A13="",G13=""),"",COUNTIFS(Products[Прибыль],"&gt;"&amp;G13)+COUNTIFS($G$5:G13,G13,$A$5:A13,"&lt;&gt;"))</x:f>
      </x:c>
      <x:c r="R13" s="11" t="str">
        <x:f>IF(OR(A13="",I13=""),"",COUNTIFS(Products[Маржа],"&gt;"&amp;I13)+COUNTIFS($I$5:I13,I13,$A$5:A13,"&lt;&gt;"))</x:f>
      </x:c>
      <x:c r="S13" s="11" t="str">
        <x:f>IF(OR(A13="",J13=""),"",COUNTIFS(Products[Наценка],"&gt;"&amp;J13)+COUNTIFS($J$5:J13,J13,$A$5:A13,"&lt;&gt;"))</x:f>
      </x:c>
      <x:c r="T13" s="11" t="str">
        <x:f>IF(OR(A13="",H13&lt;=0),"",COUNTIFS(Products[Убыток],"&gt;"&amp;H13)+COUNTIFS($H$5:H13,H13,$A$5:A13,"&lt;&gt;"))</x:f>
      </x:c>
      <x:c r="U13" s="11" t="str">
        <x:f>IF(OR(A13="",K13&lt;=0),"",COUNTIFS(Products[Возвраты шт.],"&gt;"&amp;K13)+COUNTIFS($K$5:K13,K13,$A$5:A13,"&lt;&gt;"))</x:f>
      </x:c>
      <x:c r="V13" s="11" t="str">
        <x:f>IF(OR(A13="",L13&lt;=0),"",COUNTIFS(Products[Отмены шт.],"&gt;"&amp;L13)+COUNTIFS($L$5:L13,L13,$A$5:A13,"&lt;&gt;"))</x:f>
      </x:c>
    </x:row>
    <x:row r="14" ht="23" customHeight="1">
      <x:c r="A14" s="51"/>
      <x:c r="B14" s="51"/>
      <x:c r="C14" s="51"/>
      <x:c r="D14" s="11" t="str">
        <x:f>IF(A14="","",SUMIFS(Orders[Продано шт.],Orders[Дата],"&gt;="&amp;'Настройки'!$B$4,Orders[Дата],"&lt;"&amp;('Настройки'!$B$5+1),Orders[SKU],A14))</x:f>
      </x:c>
      <x:c r="E14" s="16" t="str">
        <x:f>IF(A14="","",SUMIFS(Orders[Выручка],Orders[Дата],"&gt;="&amp;'Настройки'!$B$4,Orders[Дата],"&lt;"&amp;('Настройки'!$B$5+1),Orders[SKU],A14))</x:f>
      </x:c>
      <x:c r="F14" s="16" t="str">
        <x:f>IF(A14="","",SUMIFS(Orders[Себестоимость],Orders[Дата],"&gt;="&amp;'Настройки'!$B$4,Orders[Дата],"&lt;"&amp;('Настройки'!$B$5+1),Orders[SKU],A14))</x:f>
      </x:c>
      <x:c r="G14" s="16" t="str">
        <x:f>IF(A14="","",SUMIFS(Orders[Прибыль],Orders[Дата],"&gt;="&amp;'Настройки'!$B$4,Orders[Дата],"&lt;"&amp;('Настройки'!$B$5+1),Orders[SKU],A14))</x:f>
      </x:c>
      <x:c r="H14" s="16" t="str">
        <x:f>IF(A14="","",MAX(0,-G14))</x:f>
      </x:c>
      <x:c r="I14" s="17" t="str">
        <x:f>IF(A14="","",IF(E14=0,"",G14/E14))</x:f>
      </x:c>
      <x:c r="J14" s="17" t="str">
        <x:f>IF(A14="","",IF(F14=0,"",(E14-F14)/F14))</x:f>
      </x:c>
      <x:c r="K14" s="11" t="str">
        <x:f>IF(A14="","",SUMIFS(Orders[Количество],Orders[Дата],"&gt;="&amp;'Настройки'!$B$4,Orders[Дата],"&lt;"&amp;('Настройки'!$B$5+1),Orders[SKU],A14,Orders[Статус],"Возврат"))</x:f>
      </x:c>
      <x:c r="L14" s="11" t="str">
        <x:f>IF(A14="","",SUMIFS(Orders[Количество],Orders[Дата],"&gt;="&amp;'Настройки'!$B$4,Orders[Дата],"&lt;"&amp;('Настройки'!$B$5+1),Orders[SKU],A14,Orders[Статус],"Отменён"))</x:f>
      </x:c>
      <x:c r="M14" s="16" t="str">
        <x:f>IF(A14="","",IF(D14=0,"",E14/D14))</x:f>
      </x:c>
      <x:c r="N14" s="17" t="str">
        <x:f>IF(A14="","",IF(F14=0,"",G14/F14))</x:f>
      </x:c>
      <x:c r="O14" s="11" t="str">
        <x:f>IF(A14="","",SUMIFS(Stock[Остаток],Stock[SKU],A14))</x:f>
      </x:c>
      <x:c r="P14" s="11" t="str">
        <x:f>IF(OR(A14="",E14=""),"",COUNTIFS(Products[Выручка],"&gt;"&amp;E14)+COUNTIFS($E$5:E14,E14,$A$5:A14,"&lt;&gt;"))</x:f>
      </x:c>
      <x:c r="Q14" s="11" t="str">
        <x:f>IF(OR(A14="",G14=""),"",COUNTIFS(Products[Прибыль],"&gt;"&amp;G14)+COUNTIFS($G$5:G14,G14,$A$5:A14,"&lt;&gt;"))</x:f>
      </x:c>
      <x:c r="R14" s="11" t="str">
        <x:f>IF(OR(A14="",I14=""),"",COUNTIFS(Products[Маржа],"&gt;"&amp;I14)+COUNTIFS($I$5:I14,I14,$A$5:A14,"&lt;&gt;"))</x:f>
      </x:c>
      <x:c r="S14" s="11" t="str">
        <x:f>IF(OR(A14="",J14=""),"",COUNTIFS(Products[Наценка],"&gt;"&amp;J14)+COUNTIFS($J$5:J14,J14,$A$5:A14,"&lt;&gt;"))</x:f>
      </x:c>
      <x:c r="T14" s="11" t="str">
        <x:f>IF(OR(A14="",H14&lt;=0),"",COUNTIFS(Products[Убыток],"&gt;"&amp;H14)+COUNTIFS($H$5:H14,H14,$A$5:A14,"&lt;&gt;"))</x:f>
      </x:c>
      <x:c r="U14" s="11" t="str">
        <x:f>IF(OR(A14="",K14&lt;=0),"",COUNTIFS(Products[Возвраты шт.],"&gt;"&amp;K14)+COUNTIFS($K$5:K14,K14,$A$5:A14,"&lt;&gt;"))</x:f>
      </x:c>
      <x:c r="V14" s="11" t="str">
        <x:f>IF(OR(A14="",L14&lt;=0),"",COUNTIFS(Products[Отмены шт.],"&gt;"&amp;L14)+COUNTIFS($L$5:L14,L14,$A$5:A14,"&lt;&gt;"))</x:f>
      </x:c>
    </x:row>
    <x:row r="15" ht="23" customHeight="1">
      <x:c r="A15" s="51"/>
      <x:c r="B15" s="51"/>
      <x:c r="C15" s="51"/>
      <x:c r="D15" s="11" t="str">
        <x:f>IF(A15="","",SUMIFS(Orders[Продано шт.],Orders[Дата],"&gt;="&amp;'Настройки'!$B$4,Orders[Дата],"&lt;"&amp;('Настройки'!$B$5+1),Orders[SKU],A15))</x:f>
      </x:c>
      <x:c r="E15" s="16" t="str">
        <x:f>IF(A15="","",SUMIFS(Orders[Выручка],Orders[Дата],"&gt;="&amp;'Настройки'!$B$4,Orders[Дата],"&lt;"&amp;('Настройки'!$B$5+1),Orders[SKU],A15))</x:f>
      </x:c>
      <x:c r="F15" s="16" t="str">
        <x:f>IF(A15="","",SUMIFS(Orders[Себестоимость],Orders[Дата],"&gt;="&amp;'Настройки'!$B$4,Orders[Дата],"&lt;"&amp;('Настройки'!$B$5+1),Orders[SKU],A15))</x:f>
      </x:c>
      <x:c r="G15" s="16" t="str">
        <x:f>IF(A15="","",SUMIFS(Orders[Прибыль],Orders[Дата],"&gt;="&amp;'Настройки'!$B$4,Orders[Дата],"&lt;"&amp;('Настройки'!$B$5+1),Orders[SKU],A15))</x:f>
      </x:c>
      <x:c r="H15" s="16" t="str">
        <x:f>IF(A15="","",MAX(0,-G15))</x:f>
      </x:c>
      <x:c r="I15" s="17" t="str">
        <x:f>IF(A15="","",IF(E15=0,"",G15/E15))</x:f>
      </x:c>
      <x:c r="J15" s="17" t="str">
        <x:f>IF(A15="","",IF(F15=0,"",(E15-F15)/F15))</x:f>
      </x:c>
      <x:c r="K15" s="11" t="str">
        <x:f>IF(A15="","",SUMIFS(Orders[Количество],Orders[Дата],"&gt;="&amp;'Настройки'!$B$4,Orders[Дата],"&lt;"&amp;('Настройки'!$B$5+1),Orders[SKU],A15,Orders[Статус],"Возврат"))</x:f>
      </x:c>
      <x:c r="L15" s="11" t="str">
        <x:f>IF(A15="","",SUMIFS(Orders[Количество],Orders[Дата],"&gt;="&amp;'Настройки'!$B$4,Orders[Дата],"&lt;"&amp;('Настройки'!$B$5+1),Orders[SKU],A15,Orders[Статус],"Отменён"))</x:f>
      </x:c>
      <x:c r="M15" s="16" t="str">
        <x:f>IF(A15="","",IF(D15=0,"",E15/D15))</x:f>
      </x:c>
      <x:c r="N15" s="17" t="str">
        <x:f>IF(A15="","",IF(F15=0,"",G15/F15))</x:f>
      </x:c>
      <x:c r="O15" s="11" t="str">
        <x:f>IF(A15="","",SUMIFS(Stock[Остаток],Stock[SKU],A15))</x:f>
      </x:c>
      <x:c r="P15" s="11" t="str">
        <x:f>IF(OR(A15="",E15=""),"",COUNTIFS(Products[Выручка],"&gt;"&amp;E15)+COUNTIFS($E$5:E15,E15,$A$5:A15,"&lt;&gt;"))</x:f>
      </x:c>
      <x:c r="Q15" s="11" t="str">
        <x:f>IF(OR(A15="",G15=""),"",COUNTIFS(Products[Прибыль],"&gt;"&amp;G15)+COUNTIFS($G$5:G15,G15,$A$5:A15,"&lt;&gt;"))</x:f>
      </x:c>
      <x:c r="R15" s="11" t="str">
        <x:f>IF(OR(A15="",I15=""),"",COUNTIFS(Products[Маржа],"&gt;"&amp;I15)+COUNTIFS($I$5:I15,I15,$A$5:A15,"&lt;&gt;"))</x:f>
      </x:c>
      <x:c r="S15" s="11" t="str">
        <x:f>IF(OR(A15="",J15=""),"",COUNTIFS(Products[Наценка],"&gt;"&amp;J15)+COUNTIFS($J$5:J15,J15,$A$5:A15,"&lt;&gt;"))</x:f>
      </x:c>
      <x:c r="T15" s="11" t="str">
        <x:f>IF(OR(A15="",H15&lt;=0),"",COUNTIFS(Products[Убыток],"&gt;"&amp;H15)+COUNTIFS($H$5:H15,H15,$A$5:A15,"&lt;&gt;"))</x:f>
      </x:c>
      <x:c r="U15" s="11" t="str">
        <x:f>IF(OR(A15="",K15&lt;=0),"",COUNTIFS(Products[Возвраты шт.],"&gt;"&amp;K15)+COUNTIFS($K$5:K15,K15,$A$5:A15,"&lt;&gt;"))</x:f>
      </x:c>
      <x:c r="V15" s="11" t="str">
        <x:f>IF(OR(A15="",L15&lt;=0),"",COUNTIFS(Products[Отмены шт.],"&gt;"&amp;L15)+COUNTIFS($L$5:L15,L15,$A$5:A15,"&lt;&gt;"))</x:f>
      </x:c>
    </x:row>
    <x:row r="16" ht="23" customHeight="1">
      <x:c r="A16" s="51"/>
      <x:c r="B16" s="51"/>
      <x:c r="C16" s="51"/>
      <x:c r="D16" s="11" t="str">
        <x:f>IF(A16="","",SUMIFS(Orders[Продано шт.],Orders[Дата],"&gt;="&amp;'Настройки'!$B$4,Orders[Дата],"&lt;"&amp;('Настройки'!$B$5+1),Orders[SKU],A16))</x:f>
      </x:c>
      <x:c r="E16" s="16" t="str">
        <x:f>IF(A16="","",SUMIFS(Orders[Выручка],Orders[Дата],"&gt;="&amp;'Настройки'!$B$4,Orders[Дата],"&lt;"&amp;('Настройки'!$B$5+1),Orders[SKU],A16))</x:f>
      </x:c>
      <x:c r="F16" s="16" t="str">
        <x:f>IF(A16="","",SUMIFS(Orders[Себестоимость],Orders[Дата],"&gt;="&amp;'Настройки'!$B$4,Orders[Дата],"&lt;"&amp;('Настройки'!$B$5+1),Orders[SKU],A16))</x:f>
      </x:c>
      <x:c r="G16" s="16" t="str">
        <x:f>IF(A16="","",SUMIFS(Orders[Прибыль],Orders[Дата],"&gt;="&amp;'Настройки'!$B$4,Orders[Дата],"&lt;"&amp;('Настройки'!$B$5+1),Orders[SKU],A16))</x:f>
      </x:c>
      <x:c r="H16" s="16" t="str">
        <x:f>IF(A16="","",MAX(0,-G16))</x:f>
      </x:c>
      <x:c r="I16" s="17" t="str">
        <x:f>IF(A16="","",IF(E16=0,"",G16/E16))</x:f>
      </x:c>
      <x:c r="J16" s="17" t="str">
        <x:f>IF(A16="","",IF(F16=0,"",(E16-F16)/F16))</x:f>
      </x:c>
      <x:c r="K16" s="11" t="str">
        <x:f>IF(A16="","",SUMIFS(Orders[Количество],Orders[Дата],"&gt;="&amp;'Настройки'!$B$4,Orders[Дата],"&lt;"&amp;('Настройки'!$B$5+1),Orders[SKU],A16,Orders[Статус],"Возврат"))</x:f>
      </x:c>
      <x:c r="L16" s="11" t="str">
        <x:f>IF(A16="","",SUMIFS(Orders[Количество],Orders[Дата],"&gt;="&amp;'Настройки'!$B$4,Orders[Дата],"&lt;"&amp;('Настройки'!$B$5+1),Orders[SKU],A16,Orders[Статус],"Отменён"))</x:f>
      </x:c>
      <x:c r="M16" s="16" t="str">
        <x:f>IF(A16="","",IF(D16=0,"",E16/D16))</x:f>
      </x:c>
      <x:c r="N16" s="17" t="str">
        <x:f>IF(A16="","",IF(F16=0,"",G16/F16))</x:f>
      </x:c>
      <x:c r="O16" s="11" t="str">
        <x:f>IF(A16="","",SUMIFS(Stock[Остаток],Stock[SKU],A16))</x:f>
      </x:c>
      <x:c r="P16" s="11" t="str">
        <x:f>IF(OR(A16="",E16=""),"",COUNTIFS(Products[Выручка],"&gt;"&amp;E16)+COUNTIFS($E$5:E16,E16,$A$5:A16,"&lt;&gt;"))</x:f>
      </x:c>
      <x:c r="Q16" s="11" t="str">
        <x:f>IF(OR(A16="",G16=""),"",COUNTIFS(Products[Прибыль],"&gt;"&amp;G16)+COUNTIFS($G$5:G16,G16,$A$5:A16,"&lt;&gt;"))</x:f>
      </x:c>
      <x:c r="R16" s="11" t="str">
        <x:f>IF(OR(A16="",I16=""),"",COUNTIFS(Products[Маржа],"&gt;"&amp;I16)+COUNTIFS($I$5:I16,I16,$A$5:A16,"&lt;&gt;"))</x:f>
      </x:c>
      <x:c r="S16" s="11" t="str">
        <x:f>IF(OR(A16="",J16=""),"",COUNTIFS(Products[Наценка],"&gt;"&amp;J16)+COUNTIFS($J$5:J16,J16,$A$5:A16,"&lt;&gt;"))</x:f>
      </x:c>
      <x:c r="T16" s="11" t="str">
        <x:f>IF(OR(A16="",H16&lt;=0),"",COUNTIFS(Products[Убыток],"&gt;"&amp;H16)+COUNTIFS($H$5:H16,H16,$A$5:A16,"&lt;&gt;"))</x:f>
      </x:c>
      <x:c r="U16" s="11" t="str">
        <x:f>IF(OR(A16="",K16&lt;=0),"",COUNTIFS(Products[Возвраты шт.],"&gt;"&amp;K16)+COUNTIFS($K$5:K16,K16,$A$5:A16,"&lt;&gt;"))</x:f>
      </x:c>
      <x:c r="V16" s="11" t="str">
        <x:f>IF(OR(A16="",L16&lt;=0),"",COUNTIFS(Products[Отмены шт.],"&gt;"&amp;L16)+COUNTIFS($L$5:L16,L16,$A$5:A16,"&lt;&gt;"))</x:f>
      </x:c>
    </x:row>
    <x:row r="17" ht="23" customHeight="1">
      <x:c r="A17" s="51"/>
      <x:c r="B17" s="51"/>
      <x:c r="C17" s="51"/>
      <x:c r="D17" s="11" t="str">
        <x:f>IF(A17="","",SUMIFS(Orders[Продано шт.],Orders[Дата],"&gt;="&amp;'Настройки'!$B$4,Orders[Дата],"&lt;"&amp;('Настройки'!$B$5+1),Orders[SKU],A17))</x:f>
      </x:c>
      <x:c r="E17" s="16" t="str">
        <x:f>IF(A17="","",SUMIFS(Orders[Выручка],Orders[Дата],"&gt;="&amp;'Настройки'!$B$4,Orders[Дата],"&lt;"&amp;('Настройки'!$B$5+1),Orders[SKU],A17))</x:f>
      </x:c>
      <x:c r="F17" s="16" t="str">
        <x:f>IF(A17="","",SUMIFS(Orders[Себестоимость],Orders[Дата],"&gt;="&amp;'Настройки'!$B$4,Orders[Дата],"&lt;"&amp;('Настройки'!$B$5+1),Orders[SKU],A17))</x:f>
      </x:c>
      <x:c r="G17" s="16" t="str">
        <x:f>IF(A17="","",SUMIFS(Orders[Прибыль],Orders[Дата],"&gt;="&amp;'Настройки'!$B$4,Orders[Дата],"&lt;"&amp;('Настройки'!$B$5+1),Orders[SKU],A17))</x:f>
      </x:c>
      <x:c r="H17" s="16" t="str">
        <x:f>IF(A17="","",MAX(0,-G17))</x:f>
      </x:c>
      <x:c r="I17" s="17" t="str">
        <x:f>IF(A17="","",IF(E17=0,"",G17/E17))</x:f>
      </x:c>
      <x:c r="J17" s="17" t="str">
        <x:f>IF(A17="","",IF(F17=0,"",(E17-F17)/F17))</x:f>
      </x:c>
      <x:c r="K17" s="11" t="str">
        <x:f>IF(A17="","",SUMIFS(Orders[Количество],Orders[Дата],"&gt;="&amp;'Настройки'!$B$4,Orders[Дата],"&lt;"&amp;('Настройки'!$B$5+1),Orders[SKU],A17,Orders[Статус],"Возврат"))</x:f>
      </x:c>
      <x:c r="L17" s="11" t="str">
        <x:f>IF(A17="","",SUMIFS(Orders[Количество],Orders[Дата],"&gt;="&amp;'Настройки'!$B$4,Orders[Дата],"&lt;"&amp;('Настройки'!$B$5+1),Orders[SKU],A17,Orders[Статус],"Отменён"))</x:f>
      </x:c>
      <x:c r="M17" s="16" t="str">
        <x:f>IF(A17="","",IF(D17=0,"",E17/D17))</x:f>
      </x:c>
      <x:c r="N17" s="17" t="str">
        <x:f>IF(A17="","",IF(F17=0,"",G17/F17))</x:f>
      </x:c>
      <x:c r="O17" s="11" t="str">
        <x:f>IF(A17="","",SUMIFS(Stock[Остаток],Stock[SKU],A17))</x:f>
      </x:c>
      <x:c r="P17" s="11" t="str">
        <x:f>IF(OR(A17="",E17=""),"",COUNTIFS(Products[Выручка],"&gt;"&amp;E17)+COUNTIFS($E$5:E17,E17,$A$5:A17,"&lt;&gt;"))</x:f>
      </x:c>
      <x:c r="Q17" s="11" t="str">
        <x:f>IF(OR(A17="",G17=""),"",COUNTIFS(Products[Прибыль],"&gt;"&amp;G17)+COUNTIFS($G$5:G17,G17,$A$5:A17,"&lt;&gt;"))</x:f>
      </x:c>
      <x:c r="R17" s="11" t="str">
        <x:f>IF(OR(A17="",I17=""),"",COUNTIFS(Products[Маржа],"&gt;"&amp;I17)+COUNTIFS($I$5:I17,I17,$A$5:A17,"&lt;&gt;"))</x:f>
      </x:c>
      <x:c r="S17" s="11" t="str">
        <x:f>IF(OR(A17="",J17=""),"",COUNTIFS(Products[Наценка],"&gt;"&amp;J17)+COUNTIFS($J$5:J17,J17,$A$5:A17,"&lt;&gt;"))</x:f>
      </x:c>
      <x:c r="T17" s="11" t="str">
        <x:f>IF(OR(A17="",H17&lt;=0),"",COUNTIFS(Products[Убыток],"&gt;"&amp;H17)+COUNTIFS($H$5:H17,H17,$A$5:A17,"&lt;&gt;"))</x:f>
      </x:c>
      <x:c r="U17" s="11" t="str">
        <x:f>IF(OR(A17="",K17&lt;=0),"",COUNTIFS(Products[Возвраты шт.],"&gt;"&amp;K17)+COUNTIFS($K$5:K17,K17,$A$5:A17,"&lt;&gt;"))</x:f>
      </x:c>
      <x:c r="V17" s="11" t="str">
        <x:f>IF(OR(A17="",L17&lt;=0),"",COUNTIFS(Products[Отмены шт.],"&gt;"&amp;L17)+COUNTIFS($L$5:L17,L17,$A$5:A17,"&lt;&gt;"))</x:f>
      </x:c>
    </x:row>
    <x:row r="18" ht="23" customHeight="1">
      <x:c r="A18" s="51"/>
      <x:c r="B18" s="51"/>
      <x:c r="C18" s="51"/>
      <x:c r="D18" s="11" t="str">
        <x:f>IF(A18="","",SUMIFS(Orders[Продано шт.],Orders[Дата],"&gt;="&amp;'Настройки'!$B$4,Orders[Дата],"&lt;"&amp;('Настройки'!$B$5+1),Orders[SKU],A18))</x:f>
      </x:c>
      <x:c r="E18" s="16" t="str">
        <x:f>IF(A18="","",SUMIFS(Orders[Выручка],Orders[Дата],"&gt;="&amp;'Настройки'!$B$4,Orders[Дата],"&lt;"&amp;('Настройки'!$B$5+1),Orders[SKU],A18))</x:f>
      </x:c>
      <x:c r="F18" s="16" t="str">
        <x:f>IF(A18="","",SUMIFS(Orders[Себестоимость],Orders[Дата],"&gt;="&amp;'Настройки'!$B$4,Orders[Дата],"&lt;"&amp;('Настройки'!$B$5+1),Orders[SKU],A18))</x:f>
      </x:c>
      <x:c r="G18" s="16" t="str">
        <x:f>IF(A18="","",SUMIFS(Orders[Прибыль],Orders[Дата],"&gt;="&amp;'Настройки'!$B$4,Orders[Дата],"&lt;"&amp;('Настройки'!$B$5+1),Orders[SKU],A18))</x:f>
      </x:c>
      <x:c r="H18" s="16" t="str">
        <x:f>IF(A18="","",MAX(0,-G18))</x:f>
      </x:c>
      <x:c r="I18" s="17" t="str">
        <x:f>IF(A18="","",IF(E18=0,"",G18/E18))</x:f>
      </x:c>
      <x:c r="J18" s="17" t="str">
        <x:f>IF(A18="","",IF(F18=0,"",(E18-F18)/F18))</x:f>
      </x:c>
      <x:c r="K18" s="11" t="str">
        <x:f>IF(A18="","",SUMIFS(Orders[Количество],Orders[Дата],"&gt;="&amp;'Настройки'!$B$4,Orders[Дата],"&lt;"&amp;('Настройки'!$B$5+1),Orders[SKU],A18,Orders[Статус],"Возврат"))</x:f>
      </x:c>
      <x:c r="L18" s="11" t="str">
        <x:f>IF(A18="","",SUMIFS(Orders[Количество],Orders[Дата],"&gt;="&amp;'Настройки'!$B$4,Orders[Дата],"&lt;"&amp;('Настройки'!$B$5+1),Orders[SKU],A18,Orders[Статус],"Отменён"))</x:f>
      </x:c>
      <x:c r="M18" s="16" t="str">
        <x:f>IF(A18="","",IF(D18=0,"",E18/D18))</x:f>
      </x:c>
      <x:c r="N18" s="17" t="str">
        <x:f>IF(A18="","",IF(F18=0,"",G18/F18))</x:f>
      </x:c>
      <x:c r="O18" s="11" t="str">
        <x:f>IF(A18="","",SUMIFS(Stock[Остаток],Stock[SKU],A18))</x:f>
      </x:c>
      <x:c r="P18" s="11" t="str">
        <x:f>IF(OR(A18="",E18=""),"",COUNTIFS(Products[Выручка],"&gt;"&amp;E18)+COUNTIFS($E$5:E18,E18,$A$5:A18,"&lt;&gt;"))</x:f>
      </x:c>
      <x:c r="Q18" s="11" t="str">
        <x:f>IF(OR(A18="",G18=""),"",COUNTIFS(Products[Прибыль],"&gt;"&amp;G18)+COUNTIFS($G$5:G18,G18,$A$5:A18,"&lt;&gt;"))</x:f>
      </x:c>
      <x:c r="R18" s="11" t="str">
        <x:f>IF(OR(A18="",I18=""),"",COUNTIFS(Products[Маржа],"&gt;"&amp;I18)+COUNTIFS($I$5:I18,I18,$A$5:A18,"&lt;&gt;"))</x:f>
      </x:c>
      <x:c r="S18" s="11" t="str">
        <x:f>IF(OR(A18="",J18=""),"",COUNTIFS(Products[Наценка],"&gt;"&amp;J18)+COUNTIFS($J$5:J18,J18,$A$5:A18,"&lt;&gt;"))</x:f>
      </x:c>
      <x:c r="T18" s="11" t="str">
        <x:f>IF(OR(A18="",H18&lt;=0),"",COUNTIFS(Products[Убыток],"&gt;"&amp;H18)+COUNTIFS($H$5:H18,H18,$A$5:A18,"&lt;&gt;"))</x:f>
      </x:c>
      <x:c r="U18" s="11" t="str">
        <x:f>IF(OR(A18="",K18&lt;=0),"",COUNTIFS(Products[Возвраты шт.],"&gt;"&amp;K18)+COUNTIFS($K$5:K18,K18,$A$5:A18,"&lt;&gt;"))</x:f>
      </x:c>
      <x:c r="V18" s="11" t="str">
        <x:f>IF(OR(A18="",L18&lt;=0),"",COUNTIFS(Products[Отмены шт.],"&gt;"&amp;L18)+COUNTIFS($L$5:L18,L18,$A$5:A18,"&lt;&gt;"))</x:f>
      </x:c>
    </x:row>
    <x:row r="19" ht="23" customHeight="1">
      <x:c r="A19" s="51"/>
      <x:c r="B19" s="51"/>
      <x:c r="C19" s="51"/>
      <x:c r="D19" s="11" t="str">
        <x:f>IF(A19="","",SUMIFS(Orders[Продано шт.],Orders[Дата],"&gt;="&amp;'Настройки'!$B$4,Orders[Дата],"&lt;"&amp;('Настройки'!$B$5+1),Orders[SKU],A19))</x:f>
      </x:c>
      <x:c r="E19" s="16" t="str">
        <x:f>IF(A19="","",SUMIFS(Orders[Выручка],Orders[Дата],"&gt;="&amp;'Настройки'!$B$4,Orders[Дата],"&lt;"&amp;('Настройки'!$B$5+1),Orders[SKU],A19))</x:f>
      </x:c>
      <x:c r="F19" s="16" t="str">
        <x:f>IF(A19="","",SUMIFS(Orders[Себестоимость],Orders[Дата],"&gt;="&amp;'Настройки'!$B$4,Orders[Дата],"&lt;"&amp;('Настройки'!$B$5+1),Orders[SKU],A19))</x:f>
      </x:c>
      <x:c r="G19" s="16" t="str">
        <x:f>IF(A19="","",SUMIFS(Orders[Прибыль],Orders[Дата],"&gt;="&amp;'Настройки'!$B$4,Orders[Дата],"&lt;"&amp;('Настройки'!$B$5+1),Orders[SKU],A19))</x:f>
      </x:c>
      <x:c r="H19" s="16" t="str">
        <x:f>IF(A19="","",MAX(0,-G19))</x:f>
      </x:c>
      <x:c r="I19" s="17" t="str">
        <x:f>IF(A19="","",IF(E19=0,"",G19/E19))</x:f>
      </x:c>
      <x:c r="J19" s="17" t="str">
        <x:f>IF(A19="","",IF(F19=0,"",(E19-F19)/F19))</x:f>
      </x:c>
      <x:c r="K19" s="11" t="str">
        <x:f>IF(A19="","",SUMIFS(Orders[Количество],Orders[Дата],"&gt;="&amp;'Настройки'!$B$4,Orders[Дата],"&lt;"&amp;('Настройки'!$B$5+1),Orders[SKU],A19,Orders[Статус],"Возврат"))</x:f>
      </x:c>
      <x:c r="L19" s="11" t="str">
        <x:f>IF(A19="","",SUMIFS(Orders[Количество],Orders[Дата],"&gt;="&amp;'Настройки'!$B$4,Orders[Дата],"&lt;"&amp;('Настройки'!$B$5+1),Orders[SKU],A19,Orders[Статус],"Отменён"))</x:f>
      </x:c>
      <x:c r="M19" s="16" t="str">
        <x:f>IF(A19="","",IF(D19=0,"",E19/D19))</x:f>
      </x:c>
      <x:c r="N19" s="17" t="str">
        <x:f>IF(A19="","",IF(F19=0,"",G19/F19))</x:f>
      </x:c>
      <x:c r="O19" s="11" t="str">
        <x:f>IF(A19="","",SUMIFS(Stock[Остаток],Stock[SKU],A19))</x:f>
      </x:c>
      <x:c r="P19" s="11" t="str">
        <x:f>IF(OR(A19="",E19=""),"",COUNTIFS(Products[Выручка],"&gt;"&amp;E19)+COUNTIFS($E$5:E19,E19,$A$5:A19,"&lt;&gt;"))</x:f>
      </x:c>
      <x:c r="Q19" s="11" t="str">
        <x:f>IF(OR(A19="",G19=""),"",COUNTIFS(Products[Прибыль],"&gt;"&amp;G19)+COUNTIFS($G$5:G19,G19,$A$5:A19,"&lt;&gt;"))</x:f>
      </x:c>
      <x:c r="R19" s="11" t="str">
        <x:f>IF(OR(A19="",I19=""),"",COUNTIFS(Products[Маржа],"&gt;"&amp;I19)+COUNTIFS($I$5:I19,I19,$A$5:A19,"&lt;&gt;"))</x:f>
      </x:c>
      <x:c r="S19" s="11" t="str">
        <x:f>IF(OR(A19="",J19=""),"",COUNTIFS(Products[Наценка],"&gt;"&amp;J19)+COUNTIFS($J$5:J19,J19,$A$5:A19,"&lt;&gt;"))</x:f>
      </x:c>
      <x:c r="T19" s="11" t="str">
        <x:f>IF(OR(A19="",H19&lt;=0),"",COUNTIFS(Products[Убыток],"&gt;"&amp;H19)+COUNTIFS($H$5:H19,H19,$A$5:A19,"&lt;&gt;"))</x:f>
      </x:c>
      <x:c r="U19" s="11" t="str">
        <x:f>IF(OR(A19="",K19&lt;=0),"",COUNTIFS(Products[Возвраты шт.],"&gt;"&amp;K19)+COUNTIFS($K$5:K19,K19,$A$5:A19,"&lt;&gt;"))</x:f>
      </x:c>
      <x:c r="V19" s="11" t="str">
        <x:f>IF(OR(A19="",L19&lt;=0),"",COUNTIFS(Products[Отмены шт.],"&gt;"&amp;L19)+COUNTIFS($L$5:L19,L19,$A$5:A19,"&lt;&gt;"))</x:f>
      </x:c>
    </x:row>
    <x:row r="20" ht="23" customHeight="1">
      <x:c r="A20" s="51"/>
      <x:c r="B20" s="51"/>
      <x:c r="C20" s="51"/>
      <x:c r="D20" s="11" t="str">
        <x:f>IF(A20="","",SUMIFS(Orders[Продано шт.],Orders[Дата],"&gt;="&amp;'Настройки'!$B$4,Orders[Дата],"&lt;"&amp;('Настройки'!$B$5+1),Orders[SKU],A20))</x:f>
      </x:c>
      <x:c r="E20" s="16" t="str">
        <x:f>IF(A20="","",SUMIFS(Orders[Выручка],Orders[Дата],"&gt;="&amp;'Настройки'!$B$4,Orders[Дата],"&lt;"&amp;('Настройки'!$B$5+1),Orders[SKU],A20))</x:f>
      </x:c>
      <x:c r="F20" s="16" t="str">
        <x:f>IF(A20="","",SUMIFS(Orders[Себестоимость],Orders[Дата],"&gt;="&amp;'Настройки'!$B$4,Orders[Дата],"&lt;"&amp;('Настройки'!$B$5+1),Orders[SKU],A20))</x:f>
      </x:c>
      <x:c r="G20" s="16" t="str">
        <x:f>IF(A20="","",SUMIFS(Orders[Прибыль],Orders[Дата],"&gt;="&amp;'Настройки'!$B$4,Orders[Дата],"&lt;"&amp;('Настройки'!$B$5+1),Orders[SKU],A20))</x:f>
      </x:c>
      <x:c r="H20" s="16" t="str">
        <x:f>IF(A20="","",MAX(0,-G20))</x:f>
      </x:c>
      <x:c r="I20" s="17" t="str">
        <x:f>IF(A20="","",IF(E20=0,"",G20/E20))</x:f>
      </x:c>
      <x:c r="J20" s="17" t="str">
        <x:f>IF(A20="","",IF(F20=0,"",(E20-F20)/F20))</x:f>
      </x:c>
      <x:c r="K20" s="11" t="str">
        <x:f>IF(A20="","",SUMIFS(Orders[Количество],Orders[Дата],"&gt;="&amp;'Настройки'!$B$4,Orders[Дата],"&lt;"&amp;('Настройки'!$B$5+1),Orders[SKU],A20,Orders[Статус],"Возврат"))</x:f>
      </x:c>
      <x:c r="L20" s="11" t="str">
        <x:f>IF(A20="","",SUMIFS(Orders[Количество],Orders[Дата],"&gt;="&amp;'Настройки'!$B$4,Orders[Дата],"&lt;"&amp;('Настройки'!$B$5+1),Orders[SKU],A20,Orders[Статус],"Отменён"))</x:f>
      </x:c>
      <x:c r="M20" s="16" t="str">
        <x:f>IF(A20="","",IF(D20=0,"",E20/D20))</x:f>
      </x:c>
      <x:c r="N20" s="17" t="str">
        <x:f>IF(A20="","",IF(F20=0,"",G20/F20))</x:f>
      </x:c>
      <x:c r="O20" s="11" t="str">
        <x:f>IF(A20="","",SUMIFS(Stock[Остаток],Stock[SKU],A20))</x:f>
      </x:c>
      <x:c r="P20" s="11" t="str">
        <x:f>IF(OR(A20="",E20=""),"",COUNTIFS(Products[Выручка],"&gt;"&amp;E20)+COUNTIFS($E$5:E20,E20,$A$5:A20,"&lt;&gt;"))</x:f>
      </x:c>
      <x:c r="Q20" s="11" t="str">
        <x:f>IF(OR(A20="",G20=""),"",COUNTIFS(Products[Прибыль],"&gt;"&amp;G20)+COUNTIFS($G$5:G20,G20,$A$5:A20,"&lt;&gt;"))</x:f>
      </x:c>
      <x:c r="R20" s="11" t="str">
        <x:f>IF(OR(A20="",I20=""),"",COUNTIFS(Products[Маржа],"&gt;"&amp;I20)+COUNTIFS($I$5:I20,I20,$A$5:A20,"&lt;&gt;"))</x:f>
      </x:c>
      <x:c r="S20" s="11" t="str">
        <x:f>IF(OR(A20="",J20=""),"",COUNTIFS(Products[Наценка],"&gt;"&amp;J20)+COUNTIFS($J$5:J20,J20,$A$5:A20,"&lt;&gt;"))</x:f>
      </x:c>
      <x:c r="T20" s="11" t="str">
        <x:f>IF(OR(A20="",H20&lt;=0),"",COUNTIFS(Products[Убыток],"&gt;"&amp;H20)+COUNTIFS($H$5:H20,H20,$A$5:A20,"&lt;&gt;"))</x:f>
      </x:c>
      <x:c r="U20" s="11" t="str">
        <x:f>IF(OR(A20="",K20&lt;=0),"",COUNTIFS(Products[Возвраты шт.],"&gt;"&amp;K20)+COUNTIFS($K$5:K20,K20,$A$5:A20,"&lt;&gt;"))</x:f>
      </x:c>
      <x:c r="V20" s="11" t="str">
        <x:f>IF(OR(A20="",L20&lt;=0),"",COUNTIFS(Products[Отмены шт.],"&gt;"&amp;L20)+COUNTIFS($L$5:L20,L20,$A$5:A20,"&lt;&gt;"))</x:f>
      </x:c>
    </x:row>
    <x:row r="21" ht="23" customHeight="1">
      <x:c r="A21" s="51"/>
      <x:c r="B21" s="51"/>
      <x:c r="C21" s="51"/>
      <x:c r="D21" s="11" t="str">
        <x:f>IF(A21="","",SUMIFS(Orders[Продано шт.],Orders[Дата],"&gt;="&amp;'Настройки'!$B$4,Orders[Дата],"&lt;"&amp;('Настройки'!$B$5+1),Orders[SKU],A21))</x:f>
      </x:c>
      <x:c r="E21" s="16" t="str">
        <x:f>IF(A21="","",SUMIFS(Orders[Выручка],Orders[Дата],"&gt;="&amp;'Настройки'!$B$4,Orders[Дата],"&lt;"&amp;('Настройки'!$B$5+1),Orders[SKU],A21))</x:f>
      </x:c>
      <x:c r="F21" s="16" t="str">
        <x:f>IF(A21="","",SUMIFS(Orders[Себестоимость],Orders[Дата],"&gt;="&amp;'Настройки'!$B$4,Orders[Дата],"&lt;"&amp;('Настройки'!$B$5+1),Orders[SKU],A21))</x:f>
      </x:c>
      <x:c r="G21" s="16" t="str">
        <x:f>IF(A21="","",SUMIFS(Orders[Прибыль],Orders[Дата],"&gt;="&amp;'Настройки'!$B$4,Orders[Дата],"&lt;"&amp;('Настройки'!$B$5+1),Orders[SKU],A21))</x:f>
      </x:c>
      <x:c r="H21" s="16" t="str">
        <x:f>IF(A21="","",MAX(0,-G21))</x:f>
      </x:c>
      <x:c r="I21" s="17" t="str">
        <x:f>IF(A21="","",IF(E21=0,"",G21/E21))</x:f>
      </x:c>
      <x:c r="J21" s="17" t="str">
        <x:f>IF(A21="","",IF(F21=0,"",(E21-F21)/F21))</x:f>
      </x:c>
      <x:c r="K21" s="11" t="str">
        <x:f>IF(A21="","",SUMIFS(Orders[Количество],Orders[Дата],"&gt;="&amp;'Настройки'!$B$4,Orders[Дата],"&lt;"&amp;('Настройки'!$B$5+1),Orders[SKU],A21,Orders[Статус],"Возврат"))</x:f>
      </x:c>
      <x:c r="L21" s="11" t="str">
        <x:f>IF(A21="","",SUMIFS(Orders[Количество],Orders[Дата],"&gt;="&amp;'Настройки'!$B$4,Orders[Дата],"&lt;"&amp;('Настройки'!$B$5+1),Orders[SKU],A21,Orders[Статус],"Отменён"))</x:f>
      </x:c>
      <x:c r="M21" s="16" t="str">
        <x:f>IF(A21="","",IF(D21=0,"",E21/D21))</x:f>
      </x:c>
      <x:c r="N21" s="17" t="str">
        <x:f>IF(A21="","",IF(F21=0,"",G21/F21))</x:f>
      </x:c>
      <x:c r="O21" s="11" t="str">
        <x:f>IF(A21="","",SUMIFS(Stock[Остаток],Stock[SKU],A21))</x:f>
      </x:c>
      <x:c r="P21" s="11" t="str">
        <x:f>IF(OR(A21="",E21=""),"",COUNTIFS(Products[Выручка],"&gt;"&amp;E21)+COUNTIFS($E$5:E21,E21,$A$5:A21,"&lt;&gt;"))</x:f>
      </x:c>
      <x:c r="Q21" s="11" t="str">
        <x:f>IF(OR(A21="",G21=""),"",COUNTIFS(Products[Прибыль],"&gt;"&amp;G21)+COUNTIFS($G$5:G21,G21,$A$5:A21,"&lt;&gt;"))</x:f>
      </x:c>
      <x:c r="R21" s="11" t="str">
        <x:f>IF(OR(A21="",I21=""),"",COUNTIFS(Products[Маржа],"&gt;"&amp;I21)+COUNTIFS($I$5:I21,I21,$A$5:A21,"&lt;&gt;"))</x:f>
      </x:c>
      <x:c r="S21" s="11" t="str">
        <x:f>IF(OR(A21="",J21=""),"",COUNTIFS(Products[Наценка],"&gt;"&amp;J21)+COUNTIFS($J$5:J21,J21,$A$5:A21,"&lt;&gt;"))</x:f>
      </x:c>
      <x:c r="T21" s="11" t="str">
        <x:f>IF(OR(A21="",H21&lt;=0),"",COUNTIFS(Products[Убыток],"&gt;"&amp;H21)+COUNTIFS($H$5:H21,H21,$A$5:A21,"&lt;&gt;"))</x:f>
      </x:c>
      <x:c r="U21" s="11" t="str">
        <x:f>IF(OR(A21="",K21&lt;=0),"",COUNTIFS(Products[Возвраты шт.],"&gt;"&amp;K21)+COUNTIFS($K$5:K21,K21,$A$5:A21,"&lt;&gt;"))</x:f>
      </x:c>
      <x:c r="V21" s="11" t="str">
        <x:f>IF(OR(A21="",L21&lt;=0),"",COUNTIFS(Products[Отмены шт.],"&gt;"&amp;L21)+COUNTIFS($L$5:L21,L21,$A$5:A21,"&lt;&gt;"))</x:f>
      </x:c>
    </x:row>
    <x:row r="22" ht="23" customHeight="1">
      <x:c r="A22" s="51"/>
      <x:c r="B22" s="51"/>
      <x:c r="C22" s="51"/>
      <x:c r="D22" s="11" t="str">
        <x:f>IF(A22="","",SUMIFS(Orders[Продано шт.],Orders[Дата],"&gt;="&amp;'Настройки'!$B$4,Orders[Дата],"&lt;"&amp;('Настройки'!$B$5+1),Orders[SKU],A22))</x:f>
      </x:c>
      <x:c r="E22" s="16" t="str">
        <x:f>IF(A22="","",SUMIFS(Orders[Выручка],Orders[Дата],"&gt;="&amp;'Настройки'!$B$4,Orders[Дата],"&lt;"&amp;('Настройки'!$B$5+1),Orders[SKU],A22))</x:f>
      </x:c>
      <x:c r="F22" s="16" t="str">
        <x:f>IF(A22="","",SUMIFS(Orders[Себестоимость],Orders[Дата],"&gt;="&amp;'Настройки'!$B$4,Orders[Дата],"&lt;"&amp;('Настройки'!$B$5+1),Orders[SKU],A22))</x:f>
      </x:c>
      <x:c r="G22" s="16" t="str">
        <x:f>IF(A22="","",SUMIFS(Orders[Прибыль],Orders[Дата],"&gt;="&amp;'Настройки'!$B$4,Orders[Дата],"&lt;"&amp;('Настройки'!$B$5+1),Orders[SKU],A22))</x:f>
      </x:c>
      <x:c r="H22" s="16" t="str">
        <x:f>IF(A22="","",MAX(0,-G22))</x:f>
      </x:c>
      <x:c r="I22" s="17" t="str">
        <x:f>IF(A22="","",IF(E22=0,"",G22/E22))</x:f>
      </x:c>
      <x:c r="J22" s="17" t="str">
        <x:f>IF(A22="","",IF(F22=0,"",(E22-F22)/F22))</x:f>
      </x:c>
      <x:c r="K22" s="11" t="str">
        <x:f>IF(A22="","",SUMIFS(Orders[Количество],Orders[Дата],"&gt;="&amp;'Настройки'!$B$4,Orders[Дата],"&lt;"&amp;('Настройки'!$B$5+1),Orders[SKU],A22,Orders[Статус],"Возврат"))</x:f>
      </x:c>
      <x:c r="L22" s="11" t="str">
        <x:f>IF(A22="","",SUMIFS(Orders[Количество],Orders[Дата],"&gt;="&amp;'Настройки'!$B$4,Orders[Дата],"&lt;"&amp;('Настройки'!$B$5+1),Orders[SKU],A22,Orders[Статус],"Отменён"))</x:f>
      </x:c>
      <x:c r="M22" s="16" t="str">
        <x:f>IF(A22="","",IF(D22=0,"",E22/D22))</x:f>
      </x:c>
      <x:c r="N22" s="17" t="str">
        <x:f>IF(A22="","",IF(F22=0,"",G22/F22))</x:f>
      </x:c>
      <x:c r="O22" s="11" t="str">
        <x:f>IF(A22="","",SUMIFS(Stock[Остаток],Stock[SKU],A22))</x:f>
      </x:c>
      <x:c r="P22" s="11" t="str">
        <x:f>IF(OR(A22="",E22=""),"",COUNTIFS(Products[Выручка],"&gt;"&amp;E22)+COUNTIFS($E$5:E22,E22,$A$5:A22,"&lt;&gt;"))</x:f>
      </x:c>
      <x:c r="Q22" s="11" t="str">
        <x:f>IF(OR(A22="",G22=""),"",COUNTIFS(Products[Прибыль],"&gt;"&amp;G22)+COUNTIFS($G$5:G22,G22,$A$5:A22,"&lt;&gt;"))</x:f>
      </x:c>
      <x:c r="R22" s="11" t="str">
        <x:f>IF(OR(A22="",I22=""),"",COUNTIFS(Products[Маржа],"&gt;"&amp;I22)+COUNTIFS($I$5:I22,I22,$A$5:A22,"&lt;&gt;"))</x:f>
      </x:c>
      <x:c r="S22" s="11" t="str">
        <x:f>IF(OR(A22="",J22=""),"",COUNTIFS(Products[Наценка],"&gt;"&amp;J22)+COUNTIFS($J$5:J22,J22,$A$5:A22,"&lt;&gt;"))</x:f>
      </x:c>
      <x:c r="T22" s="11" t="str">
        <x:f>IF(OR(A22="",H22&lt;=0),"",COUNTIFS(Products[Убыток],"&gt;"&amp;H22)+COUNTIFS($H$5:H22,H22,$A$5:A22,"&lt;&gt;"))</x:f>
      </x:c>
      <x:c r="U22" s="11" t="str">
        <x:f>IF(OR(A22="",K22&lt;=0),"",COUNTIFS(Products[Возвраты шт.],"&gt;"&amp;K22)+COUNTIFS($K$5:K22,K22,$A$5:A22,"&lt;&gt;"))</x:f>
      </x:c>
      <x:c r="V22" s="11" t="str">
        <x:f>IF(OR(A22="",L22&lt;=0),"",COUNTIFS(Products[Отмены шт.],"&gt;"&amp;L22)+COUNTIFS($L$5:L22,L22,$A$5:A22,"&lt;&gt;"))</x:f>
      </x:c>
    </x:row>
    <x:row r="23" ht="23" customHeight="1">
      <x:c r="A23" s="51"/>
      <x:c r="B23" s="51"/>
      <x:c r="C23" s="51"/>
      <x:c r="D23" s="11" t="str">
        <x:f>IF(A23="","",SUMIFS(Orders[Продано шт.],Orders[Дата],"&gt;="&amp;'Настройки'!$B$4,Orders[Дата],"&lt;"&amp;('Настройки'!$B$5+1),Orders[SKU],A23))</x:f>
      </x:c>
      <x:c r="E23" s="16" t="str">
        <x:f>IF(A23="","",SUMIFS(Orders[Выручка],Orders[Дата],"&gt;="&amp;'Настройки'!$B$4,Orders[Дата],"&lt;"&amp;('Настройки'!$B$5+1),Orders[SKU],A23))</x:f>
      </x:c>
      <x:c r="F23" s="16" t="str">
        <x:f>IF(A23="","",SUMIFS(Orders[Себестоимость],Orders[Дата],"&gt;="&amp;'Настройки'!$B$4,Orders[Дата],"&lt;"&amp;('Настройки'!$B$5+1),Orders[SKU],A23))</x:f>
      </x:c>
      <x:c r="G23" s="16" t="str">
        <x:f>IF(A23="","",SUMIFS(Orders[Прибыль],Orders[Дата],"&gt;="&amp;'Настройки'!$B$4,Orders[Дата],"&lt;"&amp;('Настройки'!$B$5+1),Orders[SKU],A23))</x:f>
      </x:c>
      <x:c r="H23" s="16" t="str">
        <x:f>IF(A23="","",MAX(0,-G23))</x:f>
      </x:c>
      <x:c r="I23" s="17" t="str">
        <x:f>IF(A23="","",IF(E23=0,"",G23/E23))</x:f>
      </x:c>
      <x:c r="J23" s="17" t="str">
        <x:f>IF(A23="","",IF(F23=0,"",(E23-F23)/F23))</x:f>
      </x:c>
      <x:c r="K23" s="11" t="str">
        <x:f>IF(A23="","",SUMIFS(Orders[Количество],Orders[Дата],"&gt;="&amp;'Настройки'!$B$4,Orders[Дата],"&lt;"&amp;('Настройки'!$B$5+1),Orders[SKU],A23,Orders[Статус],"Возврат"))</x:f>
      </x:c>
      <x:c r="L23" s="11" t="str">
        <x:f>IF(A23="","",SUMIFS(Orders[Количество],Orders[Дата],"&gt;="&amp;'Настройки'!$B$4,Orders[Дата],"&lt;"&amp;('Настройки'!$B$5+1),Orders[SKU],A23,Orders[Статус],"Отменён"))</x:f>
      </x:c>
      <x:c r="M23" s="16" t="str">
        <x:f>IF(A23="","",IF(D23=0,"",E23/D23))</x:f>
      </x:c>
      <x:c r="N23" s="17" t="str">
        <x:f>IF(A23="","",IF(F23=0,"",G23/F23))</x:f>
      </x:c>
      <x:c r="O23" s="11" t="str">
        <x:f>IF(A23="","",SUMIFS(Stock[Остаток],Stock[SKU],A23))</x:f>
      </x:c>
      <x:c r="P23" s="11" t="str">
        <x:f>IF(OR(A23="",E23=""),"",COUNTIFS(Products[Выручка],"&gt;"&amp;E23)+COUNTIFS($E$5:E23,E23,$A$5:A23,"&lt;&gt;"))</x:f>
      </x:c>
      <x:c r="Q23" s="11" t="str">
        <x:f>IF(OR(A23="",G23=""),"",COUNTIFS(Products[Прибыль],"&gt;"&amp;G23)+COUNTIFS($G$5:G23,G23,$A$5:A23,"&lt;&gt;"))</x:f>
      </x:c>
      <x:c r="R23" s="11" t="str">
        <x:f>IF(OR(A23="",I23=""),"",COUNTIFS(Products[Маржа],"&gt;"&amp;I23)+COUNTIFS($I$5:I23,I23,$A$5:A23,"&lt;&gt;"))</x:f>
      </x:c>
      <x:c r="S23" s="11" t="str">
        <x:f>IF(OR(A23="",J23=""),"",COUNTIFS(Products[Наценка],"&gt;"&amp;J23)+COUNTIFS($J$5:J23,J23,$A$5:A23,"&lt;&gt;"))</x:f>
      </x:c>
      <x:c r="T23" s="11" t="str">
        <x:f>IF(OR(A23="",H23&lt;=0),"",COUNTIFS(Products[Убыток],"&gt;"&amp;H23)+COUNTIFS($H$5:H23,H23,$A$5:A23,"&lt;&gt;"))</x:f>
      </x:c>
      <x:c r="U23" s="11" t="str">
        <x:f>IF(OR(A23="",K23&lt;=0),"",COUNTIFS(Products[Возвраты шт.],"&gt;"&amp;K23)+COUNTIFS($K$5:K23,K23,$A$5:A23,"&lt;&gt;"))</x:f>
      </x:c>
      <x:c r="V23" s="11" t="str">
        <x:f>IF(OR(A23="",L23&lt;=0),"",COUNTIFS(Products[Отмены шт.],"&gt;"&amp;L23)+COUNTIFS($L$5:L23,L23,$A$5:A23,"&lt;&gt;"))</x:f>
      </x:c>
    </x:row>
    <x:row r="24" ht="23" customHeight="1">
      <x:c r="A24" s="51"/>
      <x:c r="B24" s="51"/>
      <x:c r="C24" s="51"/>
      <x:c r="D24" s="11" t="str">
        <x:f>IF(A24="","",SUMIFS(Orders[Продано шт.],Orders[Дата],"&gt;="&amp;'Настройки'!$B$4,Orders[Дата],"&lt;"&amp;('Настройки'!$B$5+1),Orders[SKU],A24))</x:f>
      </x:c>
      <x:c r="E24" s="16" t="str">
        <x:f>IF(A24="","",SUMIFS(Orders[Выручка],Orders[Дата],"&gt;="&amp;'Настройки'!$B$4,Orders[Дата],"&lt;"&amp;('Настройки'!$B$5+1),Orders[SKU],A24))</x:f>
      </x:c>
      <x:c r="F24" s="16" t="str">
        <x:f>IF(A24="","",SUMIFS(Orders[Себестоимость],Orders[Дата],"&gt;="&amp;'Настройки'!$B$4,Orders[Дата],"&lt;"&amp;('Настройки'!$B$5+1),Orders[SKU],A24))</x:f>
      </x:c>
      <x:c r="G24" s="16" t="str">
        <x:f>IF(A24="","",SUMIFS(Orders[Прибыль],Orders[Дата],"&gt;="&amp;'Настройки'!$B$4,Orders[Дата],"&lt;"&amp;('Настройки'!$B$5+1),Orders[SKU],A24))</x:f>
      </x:c>
      <x:c r="H24" s="16" t="str">
        <x:f>IF(A24="","",MAX(0,-G24))</x:f>
      </x:c>
      <x:c r="I24" s="17" t="str">
        <x:f>IF(A24="","",IF(E24=0,"",G24/E24))</x:f>
      </x:c>
      <x:c r="J24" s="17" t="str">
        <x:f>IF(A24="","",IF(F24=0,"",(E24-F24)/F24))</x:f>
      </x:c>
      <x:c r="K24" s="11" t="str">
        <x:f>IF(A24="","",SUMIFS(Orders[Количество],Orders[Дата],"&gt;="&amp;'Настройки'!$B$4,Orders[Дата],"&lt;"&amp;('Настройки'!$B$5+1),Orders[SKU],A24,Orders[Статус],"Возврат"))</x:f>
      </x:c>
      <x:c r="L24" s="11" t="str">
        <x:f>IF(A24="","",SUMIFS(Orders[Количество],Orders[Дата],"&gt;="&amp;'Настройки'!$B$4,Orders[Дата],"&lt;"&amp;('Настройки'!$B$5+1),Orders[SKU],A24,Orders[Статус],"Отменён"))</x:f>
      </x:c>
      <x:c r="M24" s="16" t="str">
        <x:f>IF(A24="","",IF(D24=0,"",E24/D24))</x:f>
      </x:c>
      <x:c r="N24" s="17" t="str">
        <x:f>IF(A24="","",IF(F24=0,"",G24/F24))</x:f>
      </x:c>
      <x:c r="O24" s="11" t="str">
        <x:f>IF(A24="","",SUMIFS(Stock[Остаток],Stock[SKU],A24))</x:f>
      </x:c>
      <x:c r="P24" s="11" t="str">
        <x:f>IF(OR(A24="",E24=""),"",COUNTIFS(Products[Выручка],"&gt;"&amp;E24)+COUNTIFS($E$5:E24,E24,$A$5:A24,"&lt;&gt;"))</x:f>
      </x:c>
      <x:c r="Q24" s="11" t="str">
        <x:f>IF(OR(A24="",G24=""),"",COUNTIFS(Products[Прибыль],"&gt;"&amp;G24)+COUNTIFS($G$5:G24,G24,$A$5:A24,"&lt;&gt;"))</x:f>
      </x:c>
      <x:c r="R24" s="11" t="str">
        <x:f>IF(OR(A24="",I24=""),"",COUNTIFS(Products[Маржа],"&gt;"&amp;I24)+COUNTIFS($I$5:I24,I24,$A$5:A24,"&lt;&gt;"))</x:f>
      </x:c>
      <x:c r="S24" s="11" t="str">
        <x:f>IF(OR(A24="",J24=""),"",COUNTIFS(Products[Наценка],"&gt;"&amp;J24)+COUNTIFS($J$5:J24,J24,$A$5:A24,"&lt;&gt;"))</x:f>
      </x:c>
      <x:c r="T24" s="11" t="str">
        <x:f>IF(OR(A24="",H24&lt;=0),"",COUNTIFS(Products[Убыток],"&gt;"&amp;H24)+COUNTIFS($H$5:H24,H24,$A$5:A24,"&lt;&gt;"))</x:f>
      </x:c>
      <x:c r="U24" s="11" t="str">
        <x:f>IF(OR(A24="",K24&lt;=0),"",COUNTIFS(Products[Возвраты шт.],"&gt;"&amp;K24)+COUNTIFS($K$5:K24,K24,$A$5:A24,"&lt;&gt;"))</x:f>
      </x:c>
      <x:c r="V24" s="11" t="str">
        <x:f>IF(OR(A24="",L24&lt;=0),"",COUNTIFS(Products[Отмены шт.],"&gt;"&amp;L24)+COUNTIFS($L$5:L24,L24,$A$5:A24,"&lt;&gt;"))</x:f>
      </x:c>
    </x:row>
    <x:row r="25" ht="23" customHeight="1">
      <x:c r="A25" s="51"/>
      <x:c r="B25" s="51"/>
      <x:c r="C25" s="51"/>
      <x:c r="D25" s="11" t="str">
        <x:f>IF(A25="","",SUMIFS(Orders[Продано шт.],Orders[Дата],"&gt;="&amp;'Настройки'!$B$4,Orders[Дата],"&lt;"&amp;('Настройки'!$B$5+1),Orders[SKU],A25))</x:f>
      </x:c>
      <x:c r="E25" s="16" t="str">
        <x:f>IF(A25="","",SUMIFS(Orders[Выручка],Orders[Дата],"&gt;="&amp;'Настройки'!$B$4,Orders[Дата],"&lt;"&amp;('Настройки'!$B$5+1),Orders[SKU],A25))</x:f>
      </x:c>
      <x:c r="F25" s="16" t="str">
        <x:f>IF(A25="","",SUMIFS(Orders[Себестоимость],Orders[Дата],"&gt;="&amp;'Настройки'!$B$4,Orders[Дата],"&lt;"&amp;('Настройки'!$B$5+1),Orders[SKU],A25))</x:f>
      </x:c>
      <x:c r="G25" s="16" t="str">
        <x:f>IF(A25="","",SUMIFS(Orders[Прибыль],Orders[Дата],"&gt;="&amp;'Настройки'!$B$4,Orders[Дата],"&lt;"&amp;('Настройки'!$B$5+1),Orders[SKU],A25))</x:f>
      </x:c>
      <x:c r="H25" s="16" t="str">
        <x:f>IF(A25="","",MAX(0,-G25))</x:f>
      </x:c>
      <x:c r="I25" s="17" t="str">
        <x:f>IF(A25="","",IF(E25=0,"",G25/E25))</x:f>
      </x:c>
      <x:c r="J25" s="17" t="str">
        <x:f>IF(A25="","",IF(F25=0,"",(E25-F25)/F25))</x:f>
      </x:c>
      <x:c r="K25" s="11" t="str">
        <x:f>IF(A25="","",SUMIFS(Orders[Количество],Orders[Дата],"&gt;="&amp;'Настройки'!$B$4,Orders[Дата],"&lt;"&amp;('Настройки'!$B$5+1),Orders[SKU],A25,Orders[Статус],"Возврат"))</x:f>
      </x:c>
      <x:c r="L25" s="11" t="str">
        <x:f>IF(A25="","",SUMIFS(Orders[Количество],Orders[Дата],"&gt;="&amp;'Настройки'!$B$4,Orders[Дата],"&lt;"&amp;('Настройки'!$B$5+1),Orders[SKU],A25,Orders[Статус],"Отменён"))</x:f>
      </x:c>
      <x:c r="M25" s="16" t="str">
        <x:f>IF(A25="","",IF(D25=0,"",E25/D25))</x:f>
      </x:c>
      <x:c r="N25" s="17" t="str">
        <x:f>IF(A25="","",IF(F25=0,"",G25/F25))</x:f>
      </x:c>
      <x:c r="O25" s="11" t="str">
        <x:f>IF(A25="","",SUMIFS(Stock[Остаток],Stock[SKU],A25))</x:f>
      </x:c>
      <x:c r="P25" s="11" t="str">
        <x:f>IF(OR(A25="",E25=""),"",COUNTIFS(Products[Выручка],"&gt;"&amp;E25)+COUNTIFS($E$5:E25,E25,$A$5:A25,"&lt;&gt;"))</x:f>
      </x:c>
      <x:c r="Q25" s="11" t="str">
        <x:f>IF(OR(A25="",G25=""),"",COUNTIFS(Products[Прибыль],"&gt;"&amp;G25)+COUNTIFS($G$5:G25,G25,$A$5:A25,"&lt;&gt;"))</x:f>
      </x:c>
      <x:c r="R25" s="11" t="str">
        <x:f>IF(OR(A25="",I25=""),"",COUNTIFS(Products[Маржа],"&gt;"&amp;I25)+COUNTIFS($I$5:I25,I25,$A$5:A25,"&lt;&gt;"))</x:f>
      </x:c>
      <x:c r="S25" s="11" t="str">
        <x:f>IF(OR(A25="",J25=""),"",COUNTIFS(Products[Наценка],"&gt;"&amp;J25)+COUNTIFS($J$5:J25,J25,$A$5:A25,"&lt;&gt;"))</x:f>
      </x:c>
      <x:c r="T25" s="11" t="str">
        <x:f>IF(OR(A25="",H25&lt;=0),"",COUNTIFS(Products[Убыток],"&gt;"&amp;H25)+COUNTIFS($H$5:H25,H25,$A$5:A25,"&lt;&gt;"))</x:f>
      </x:c>
      <x:c r="U25" s="11" t="str">
        <x:f>IF(OR(A25="",K25&lt;=0),"",COUNTIFS(Products[Возвраты шт.],"&gt;"&amp;K25)+COUNTIFS($K$5:K25,K25,$A$5:A25,"&lt;&gt;"))</x:f>
      </x:c>
      <x:c r="V25" s="11" t="str">
        <x:f>IF(OR(A25="",L25&lt;=0),"",COUNTIFS(Products[Отмены шт.],"&gt;"&amp;L25)+COUNTIFS($L$5:L25,L25,$A$5:A25,"&lt;&gt;"))</x:f>
      </x:c>
    </x:row>
    <x:row r="26" ht="23" customHeight="1">
      <x:c r="A26" s="51"/>
      <x:c r="B26" s="51"/>
      <x:c r="C26" s="51"/>
      <x:c r="D26" s="11" t="str">
        <x:f>IF(A26="","",SUMIFS(Orders[Продано шт.],Orders[Дата],"&gt;="&amp;'Настройки'!$B$4,Orders[Дата],"&lt;"&amp;('Настройки'!$B$5+1),Orders[SKU],A26))</x:f>
      </x:c>
      <x:c r="E26" s="16" t="str">
        <x:f>IF(A26="","",SUMIFS(Orders[Выручка],Orders[Дата],"&gt;="&amp;'Настройки'!$B$4,Orders[Дата],"&lt;"&amp;('Настройки'!$B$5+1),Orders[SKU],A26))</x:f>
      </x:c>
      <x:c r="F26" s="16" t="str">
        <x:f>IF(A26="","",SUMIFS(Orders[Себестоимость],Orders[Дата],"&gt;="&amp;'Настройки'!$B$4,Orders[Дата],"&lt;"&amp;('Настройки'!$B$5+1),Orders[SKU],A26))</x:f>
      </x:c>
      <x:c r="G26" s="16" t="str">
        <x:f>IF(A26="","",SUMIFS(Orders[Прибыль],Orders[Дата],"&gt;="&amp;'Настройки'!$B$4,Orders[Дата],"&lt;"&amp;('Настройки'!$B$5+1),Orders[SKU],A26))</x:f>
      </x:c>
      <x:c r="H26" s="16" t="str">
        <x:f>IF(A26="","",MAX(0,-G26))</x:f>
      </x:c>
      <x:c r="I26" s="17" t="str">
        <x:f>IF(A26="","",IF(E26=0,"",G26/E26))</x:f>
      </x:c>
      <x:c r="J26" s="17" t="str">
        <x:f>IF(A26="","",IF(F26=0,"",(E26-F26)/F26))</x:f>
      </x:c>
      <x:c r="K26" s="11" t="str">
        <x:f>IF(A26="","",SUMIFS(Orders[Количество],Orders[Дата],"&gt;="&amp;'Настройки'!$B$4,Orders[Дата],"&lt;"&amp;('Настройки'!$B$5+1),Orders[SKU],A26,Orders[Статус],"Возврат"))</x:f>
      </x:c>
      <x:c r="L26" s="11" t="str">
        <x:f>IF(A26="","",SUMIFS(Orders[Количество],Orders[Дата],"&gt;="&amp;'Настройки'!$B$4,Orders[Дата],"&lt;"&amp;('Настройки'!$B$5+1),Orders[SKU],A26,Orders[Статус],"Отменён"))</x:f>
      </x:c>
      <x:c r="M26" s="16" t="str">
        <x:f>IF(A26="","",IF(D26=0,"",E26/D26))</x:f>
      </x:c>
      <x:c r="N26" s="17" t="str">
        <x:f>IF(A26="","",IF(F26=0,"",G26/F26))</x:f>
      </x:c>
      <x:c r="O26" s="11" t="str">
        <x:f>IF(A26="","",SUMIFS(Stock[Остаток],Stock[SKU],A26))</x:f>
      </x:c>
      <x:c r="P26" s="11" t="str">
        <x:f>IF(OR(A26="",E26=""),"",COUNTIFS(Products[Выручка],"&gt;"&amp;E26)+COUNTIFS($E$5:E26,E26,$A$5:A26,"&lt;&gt;"))</x:f>
      </x:c>
      <x:c r="Q26" s="11" t="str">
        <x:f>IF(OR(A26="",G26=""),"",COUNTIFS(Products[Прибыль],"&gt;"&amp;G26)+COUNTIFS($G$5:G26,G26,$A$5:A26,"&lt;&gt;"))</x:f>
      </x:c>
      <x:c r="R26" s="11" t="str">
        <x:f>IF(OR(A26="",I26=""),"",COUNTIFS(Products[Маржа],"&gt;"&amp;I26)+COUNTIFS($I$5:I26,I26,$A$5:A26,"&lt;&gt;"))</x:f>
      </x:c>
      <x:c r="S26" s="11" t="str">
        <x:f>IF(OR(A26="",J26=""),"",COUNTIFS(Products[Наценка],"&gt;"&amp;J26)+COUNTIFS($J$5:J26,J26,$A$5:A26,"&lt;&gt;"))</x:f>
      </x:c>
      <x:c r="T26" s="11" t="str">
        <x:f>IF(OR(A26="",H26&lt;=0),"",COUNTIFS(Products[Убыток],"&gt;"&amp;H26)+COUNTIFS($H$5:H26,H26,$A$5:A26,"&lt;&gt;"))</x:f>
      </x:c>
      <x:c r="U26" s="11" t="str">
        <x:f>IF(OR(A26="",K26&lt;=0),"",COUNTIFS(Products[Возвраты шт.],"&gt;"&amp;K26)+COUNTIFS($K$5:K26,K26,$A$5:A26,"&lt;&gt;"))</x:f>
      </x:c>
      <x:c r="V26" s="11" t="str">
        <x:f>IF(OR(A26="",L26&lt;=0),"",COUNTIFS(Products[Отмены шт.],"&gt;"&amp;L26)+COUNTIFS($L$5:L26,L26,$A$5:A26,"&lt;&gt;"))</x:f>
      </x:c>
    </x:row>
    <x:row r="27" ht="23" customHeight="1">
      <x:c r="A27" s="51"/>
      <x:c r="B27" s="51"/>
      <x:c r="C27" s="51"/>
      <x:c r="D27" s="11" t="str">
        <x:f>IF(A27="","",SUMIFS(Orders[Продано шт.],Orders[Дата],"&gt;="&amp;'Настройки'!$B$4,Orders[Дата],"&lt;"&amp;('Настройки'!$B$5+1),Orders[SKU],A27))</x:f>
      </x:c>
      <x:c r="E27" s="16" t="str">
        <x:f>IF(A27="","",SUMIFS(Orders[Выручка],Orders[Дата],"&gt;="&amp;'Настройки'!$B$4,Orders[Дата],"&lt;"&amp;('Настройки'!$B$5+1),Orders[SKU],A27))</x:f>
      </x:c>
      <x:c r="F27" s="16" t="str">
        <x:f>IF(A27="","",SUMIFS(Orders[Себестоимость],Orders[Дата],"&gt;="&amp;'Настройки'!$B$4,Orders[Дата],"&lt;"&amp;('Настройки'!$B$5+1),Orders[SKU],A27))</x:f>
      </x:c>
      <x:c r="G27" s="16" t="str">
        <x:f>IF(A27="","",SUMIFS(Orders[Прибыль],Orders[Дата],"&gt;="&amp;'Настройки'!$B$4,Orders[Дата],"&lt;"&amp;('Настройки'!$B$5+1),Orders[SKU],A27))</x:f>
      </x:c>
      <x:c r="H27" s="16" t="str">
        <x:f>IF(A27="","",MAX(0,-G27))</x:f>
      </x:c>
      <x:c r="I27" s="17" t="str">
        <x:f>IF(A27="","",IF(E27=0,"",G27/E27))</x:f>
      </x:c>
      <x:c r="J27" s="17" t="str">
        <x:f>IF(A27="","",IF(F27=0,"",(E27-F27)/F27))</x:f>
      </x:c>
      <x:c r="K27" s="11" t="str">
        <x:f>IF(A27="","",SUMIFS(Orders[Количество],Orders[Дата],"&gt;="&amp;'Настройки'!$B$4,Orders[Дата],"&lt;"&amp;('Настройки'!$B$5+1),Orders[SKU],A27,Orders[Статус],"Возврат"))</x:f>
      </x:c>
      <x:c r="L27" s="11" t="str">
        <x:f>IF(A27="","",SUMIFS(Orders[Количество],Orders[Дата],"&gt;="&amp;'Настройки'!$B$4,Orders[Дата],"&lt;"&amp;('Настройки'!$B$5+1),Orders[SKU],A27,Orders[Статус],"Отменён"))</x:f>
      </x:c>
      <x:c r="M27" s="16" t="str">
        <x:f>IF(A27="","",IF(D27=0,"",E27/D27))</x:f>
      </x:c>
      <x:c r="N27" s="17" t="str">
        <x:f>IF(A27="","",IF(F27=0,"",G27/F27))</x:f>
      </x:c>
      <x:c r="O27" s="11" t="str">
        <x:f>IF(A27="","",SUMIFS(Stock[Остаток],Stock[SKU],A27))</x:f>
      </x:c>
      <x:c r="P27" s="11" t="str">
        <x:f>IF(OR(A27="",E27=""),"",COUNTIFS(Products[Выручка],"&gt;"&amp;E27)+COUNTIFS($E$5:E27,E27,$A$5:A27,"&lt;&gt;"))</x:f>
      </x:c>
      <x:c r="Q27" s="11" t="str">
        <x:f>IF(OR(A27="",G27=""),"",COUNTIFS(Products[Прибыль],"&gt;"&amp;G27)+COUNTIFS($G$5:G27,G27,$A$5:A27,"&lt;&gt;"))</x:f>
      </x:c>
      <x:c r="R27" s="11" t="str">
        <x:f>IF(OR(A27="",I27=""),"",COUNTIFS(Products[Маржа],"&gt;"&amp;I27)+COUNTIFS($I$5:I27,I27,$A$5:A27,"&lt;&gt;"))</x:f>
      </x:c>
      <x:c r="S27" s="11" t="str">
        <x:f>IF(OR(A27="",J27=""),"",COUNTIFS(Products[Наценка],"&gt;"&amp;J27)+COUNTIFS($J$5:J27,J27,$A$5:A27,"&lt;&gt;"))</x:f>
      </x:c>
      <x:c r="T27" s="11" t="str">
        <x:f>IF(OR(A27="",H27&lt;=0),"",COUNTIFS(Products[Убыток],"&gt;"&amp;H27)+COUNTIFS($H$5:H27,H27,$A$5:A27,"&lt;&gt;"))</x:f>
      </x:c>
      <x:c r="U27" s="11" t="str">
        <x:f>IF(OR(A27="",K27&lt;=0),"",COUNTIFS(Products[Возвраты шт.],"&gt;"&amp;K27)+COUNTIFS($K$5:K27,K27,$A$5:A27,"&lt;&gt;"))</x:f>
      </x:c>
      <x:c r="V27" s="11" t="str">
        <x:f>IF(OR(A27="",L27&lt;=0),"",COUNTIFS(Products[Отмены шт.],"&gt;"&amp;L27)+COUNTIFS($L$5:L27,L27,$A$5:A27,"&lt;&gt;"))</x:f>
      </x:c>
    </x:row>
    <x:row r="28" ht="23" customHeight="1">
      <x:c r="A28" s="51"/>
      <x:c r="B28" s="51"/>
      <x:c r="C28" s="51"/>
      <x:c r="D28" s="11" t="str">
        <x:f>IF(A28="","",SUMIFS(Orders[Продано шт.],Orders[Дата],"&gt;="&amp;'Настройки'!$B$4,Orders[Дата],"&lt;"&amp;('Настройки'!$B$5+1),Orders[SKU],A28))</x:f>
      </x:c>
      <x:c r="E28" s="16" t="str">
        <x:f>IF(A28="","",SUMIFS(Orders[Выручка],Orders[Дата],"&gt;="&amp;'Настройки'!$B$4,Orders[Дата],"&lt;"&amp;('Настройки'!$B$5+1),Orders[SKU],A28))</x:f>
      </x:c>
      <x:c r="F28" s="16" t="str">
        <x:f>IF(A28="","",SUMIFS(Orders[Себестоимость],Orders[Дата],"&gt;="&amp;'Настройки'!$B$4,Orders[Дата],"&lt;"&amp;('Настройки'!$B$5+1),Orders[SKU],A28))</x:f>
      </x:c>
      <x:c r="G28" s="16" t="str">
        <x:f>IF(A28="","",SUMIFS(Orders[Прибыль],Orders[Дата],"&gt;="&amp;'Настройки'!$B$4,Orders[Дата],"&lt;"&amp;('Настройки'!$B$5+1),Orders[SKU],A28))</x:f>
      </x:c>
      <x:c r="H28" s="16" t="str">
        <x:f>IF(A28="","",MAX(0,-G28))</x:f>
      </x:c>
      <x:c r="I28" s="17" t="str">
        <x:f>IF(A28="","",IF(E28=0,"",G28/E28))</x:f>
      </x:c>
      <x:c r="J28" s="17" t="str">
        <x:f>IF(A28="","",IF(F28=0,"",(E28-F28)/F28))</x:f>
      </x:c>
      <x:c r="K28" s="11" t="str">
        <x:f>IF(A28="","",SUMIFS(Orders[Количество],Orders[Дата],"&gt;="&amp;'Настройки'!$B$4,Orders[Дата],"&lt;"&amp;('Настройки'!$B$5+1),Orders[SKU],A28,Orders[Статус],"Возврат"))</x:f>
      </x:c>
      <x:c r="L28" s="11" t="str">
        <x:f>IF(A28="","",SUMIFS(Orders[Количество],Orders[Дата],"&gt;="&amp;'Настройки'!$B$4,Orders[Дата],"&lt;"&amp;('Настройки'!$B$5+1),Orders[SKU],A28,Orders[Статус],"Отменён"))</x:f>
      </x:c>
      <x:c r="M28" s="16" t="str">
        <x:f>IF(A28="","",IF(D28=0,"",E28/D28))</x:f>
      </x:c>
      <x:c r="N28" s="17" t="str">
        <x:f>IF(A28="","",IF(F28=0,"",G28/F28))</x:f>
      </x:c>
      <x:c r="O28" s="11" t="str">
        <x:f>IF(A28="","",SUMIFS(Stock[Остаток],Stock[SKU],A28))</x:f>
      </x:c>
      <x:c r="P28" s="11" t="str">
        <x:f>IF(OR(A28="",E28=""),"",COUNTIFS(Products[Выручка],"&gt;"&amp;E28)+COUNTIFS($E$5:E28,E28,$A$5:A28,"&lt;&gt;"))</x:f>
      </x:c>
      <x:c r="Q28" s="11" t="str">
        <x:f>IF(OR(A28="",G28=""),"",COUNTIFS(Products[Прибыль],"&gt;"&amp;G28)+COUNTIFS($G$5:G28,G28,$A$5:A28,"&lt;&gt;"))</x:f>
      </x:c>
      <x:c r="R28" s="11" t="str">
        <x:f>IF(OR(A28="",I28=""),"",COUNTIFS(Products[Маржа],"&gt;"&amp;I28)+COUNTIFS($I$5:I28,I28,$A$5:A28,"&lt;&gt;"))</x:f>
      </x:c>
      <x:c r="S28" s="11" t="str">
        <x:f>IF(OR(A28="",J28=""),"",COUNTIFS(Products[Наценка],"&gt;"&amp;J28)+COUNTIFS($J$5:J28,J28,$A$5:A28,"&lt;&gt;"))</x:f>
      </x:c>
      <x:c r="T28" s="11" t="str">
        <x:f>IF(OR(A28="",H28&lt;=0),"",COUNTIFS(Products[Убыток],"&gt;"&amp;H28)+COUNTIFS($H$5:H28,H28,$A$5:A28,"&lt;&gt;"))</x:f>
      </x:c>
      <x:c r="U28" s="11" t="str">
        <x:f>IF(OR(A28="",K28&lt;=0),"",COUNTIFS(Products[Возвраты шт.],"&gt;"&amp;K28)+COUNTIFS($K$5:K28,K28,$A$5:A28,"&lt;&gt;"))</x:f>
      </x:c>
      <x:c r="V28" s="11" t="str">
        <x:f>IF(OR(A28="",L28&lt;=0),"",COUNTIFS(Products[Отмены шт.],"&gt;"&amp;L28)+COUNTIFS($L$5:L28,L28,$A$5:A28,"&lt;&gt;"))</x:f>
      </x:c>
    </x:row>
    <x:row r="29" ht="23" customHeight="1">
      <x:c r="A29" s="51"/>
      <x:c r="B29" s="51"/>
      <x:c r="C29" s="51"/>
      <x:c r="D29" s="11" t="str">
        <x:f>IF(A29="","",SUMIFS(Orders[Продано шт.],Orders[Дата],"&gt;="&amp;'Настройки'!$B$4,Orders[Дата],"&lt;"&amp;('Настройки'!$B$5+1),Orders[SKU],A29))</x:f>
      </x:c>
      <x:c r="E29" s="16" t="str">
        <x:f>IF(A29="","",SUMIFS(Orders[Выручка],Orders[Дата],"&gt;="&amp;'Настройки'!$B$4,Orders[Дата],"&lt;"&amp;('Настройки'!$B$5+1),Orders[SKU],A29))</x:f>
      </x:c>
      <x:c r="F29" s="16" t="str">
        <x:f>IF(A29="","",SUMIFS(Orders[Себестоимость],Orders[Дата],"&gt;="&amp;'Настройки'!$B$4,Orders[Дата],"&lt;"&amp;('Настройки'!$B$5+1),Orders[SKU],A29))</x:f>
      </x:c>
      <x:c r="G29" s="16" t="str">
        <x:f>IF(A29="","",SUMIFS(Orders[Прибыль],Orders[Дата],"&gt;="&amp;'Настройки'!$B$4,Orders[Дата],"&lt;"&amp;('Настройки'!$B$5+1),Orders[SKU],A29))</x:f>
      </x:c>
      <x:c r="H29" s="16" t="str">
        <x:f>IF(A29="","",MAX(0,-G29))</x:f>
      </x:c>
      <x:c r="I29" s="17" t="str">
        <x:f>IF(A29="","",IF(E29=0,"",G29/E29))</x:f>
      </x:c>
      <x:c r="J29" s="17" t="str">
        <x:f>IF(A29="","",IF(F29=0,"",(E29-F29)/F29))</x:f>
      </x:c>
      <x:c r="K29" s="11" t="str">
        <x:f>IF(A29="","",SUMIFS(Orders[Количество],Orders[Дата],"&gt;="&amp;'Настройки'!$B$4,Orders[Дата],"&lt;"&amp;('Настройки'!$B$5+1),Orders[SKU],A29,Orders[Статус],"Возврат"))</x:f>
      </x:c>
      <x:c r="L29" s="11" t="str">
        <x:f>IF(A29="","",SUMIFS(Orders[Количество],Orders[Дата],"&gt;="&amp;'Настройки'!$B$4,Orders[Дата],"&lt;"&amp;('Настройки'!$B$5+1),Orders[SKU],A29,Orders[Статус],"Отменён"))</x:f>
      </x:c>
      <x:c r="M29" s="16" t="str">
        <x:f>IF(A29="","",IF(D29=0,"",E29/D29))</x:f>
      </x:c>
      <x:c r="N29" s="17" t="str">
        <x:f>IF(A29="","",IF(F29=0,"",G29/F29))</x:f>
      </x:c>
      <x:c r="O29" s="11" t="str">
        <x:f>IF(A29="","",SUMIFS(Stock[Остаток],Stock[SKU],A29))</x:f>
      </x:c>
      <x:c r="P29" s="11" t="str">
        <x:f>IF(OR(A29="",E29=""),"",COUNTIFS(Products[Выручка],"&gt;"&amp;E29)+COUNTIFS($E$5:E29,E29,$A$5:A29,"&lt;&gt;"))</x:f>
      </x:c>
      <x:c r="Q29" s="11" t="str">
        <x:f>IF(OR(A29="",G29=""),"",COUNTIFS(Products[Прибыль],"&gt;"&amp;G29)+COUNTIFS($G$5:G29,G29,$A$5:A29,"&lt;&gt;"))</x:f>
      </x:c>
      <x:c r="R29" s="11" t="str">
        <x:f>IF(OR(A29="",I29=""),"",COUNTIFS(Products[Маржа],"&gt;"&amp;I29)+COUNTIFS($I$5:I29,I29,$A$5:A29,"&lt;&gt;"))</x:f>
      </x:c>
      <x:c r="S29" s="11" t="str">
        <x:f>IF(OR(A29="",J29=""),"",COUNTIFS(Products[Наценка],"&gt;"&amp;J29)+COUNTIFS($J$5:J29,J29,$A$5:A29,"&lt;&gt;"))</x:f>
      </x:c>
      <x:c r="T29" s="11" t="str">
        <x:f>IF(OR(A29="",H29&lt;=0),"",COUNTIFS(Products[Убыток],"&gt;"&amp;H29)+COUNTIFS($H$5:H29,H29,$A$5:A29,"&lt;&gt;"))</x:f>
      </x:c>
      <x:c r="U29" s="11" t="str">
        <x:f>IF(OR(A29="",K29&lt;=0),"",COUNTIFS(Products[Возвраты шт.],"&gt;"&amp;K29)+COUNTIFS($K$5:K29,K29,$A$5:A29,"&lt;&gt;"))</x:f>
      </x:c>
      <x:c r="V29" s="11" t="str">
        <x:f>IF(OR(A29="",L29&lt;=0),"",COUNTIFS(Products[Отмены шт.],"&gt;"&amp;L29)+COUNTIFS($L$5:L29,L29,$A$5:A29,"&lt;&gt;"))</x:f>
      </x:c>
    </x:row>
    <x:row r="30" ht="23" customHeight="1">
      <x:c r="A30" s="51"/>
      <x:c r="B30" s="51"/>
      <x:c r="C30" s="51"/>
      <x:c r="D30" s="11" t="str">
        <x:f>IF(A30="","",SUMIFS(Orders[Продано шт.],Orders[Дата],"&gt;="&amp;'Настройки'!$B$4,Orders[Дата],"&lt;"&amp;('Настройки'!$B$5+1),Orders[SKU],A30))</x:f>
      </x:c>
      <x:c r="E30" s="16" t="str">
        <x:f>IF(A30="","",SUMIFS(Orders[Выручка],Orders[Дата],"&gt;="&amp;'Настройки'!$B$4,Orders[Дата],"&lt;"&amp;('Настройки'!$B$5+1),Orders[SKU],A30))</x:f>
      </x:c>
      <x:c r="F30" s="16" t="str">
        <x:f>IF(A30="","",SUMIFS(Orders[Себестоимость],Orders[Дата],"&gt;="&amp;'Настройки'!$B$4,Orders[Дата],"&lt;"&amp;('Настройки'!$B$5+1),Orders[SKU],A30))</x:f>
      </x:c>
      <x:c r="G30" s="16" t="str">
        <x:f>IF(A30="","",SUMIFS(Orders[Прибыль],Orders[Дата],"&gt;="&amp;'Настройки'!$B$4,Orders[Дата],"&lt;"&amp;('Настройки'!$B$5+1),Orders[SKU],A30))</x:f>
      </x:c>
      <x:c r="H30" s="16" t="str">
        <x:f>IF(A30="","",MAX(0,-G30))</x:f>
      </x:c>
      <x:c r="I30" s="17" t="str">
        <x:f>IF(A30="","",IF(E30=0,"",G30/E30))</x:f>
      </x:c>
      <x:c r="J30" s="17" t="str">
        <x:f>IF(A30="","",IF(F30=0,"",(E30-F30)/F30))</x:f>
      </x:c>
      <x:c r="K30" s="11" t="str">
        <x:f>IF(A30="","",SUMIFS(Orders[Количество],Orders[Дата],"&gt;="&amp;'Настройки'!$B$4,Orders[Дата],"&lt;"&amp;('Настройки'!$B$5+1),Orders[SKU],A30,Orders[Статус],"Возврат"))</x:f>
      </x:c>
      <x:c r="L30" s="11" t="str">
        <x:f>IF(A30="","",SUMIFS(Orders[Количество],Orders[Дата],"&gt;="&amp;'Настройки'!$B$4,Orders[Дата],"&lt;"&amp;('Настройки'!$B$5+1),Orders[SKU],A30,Orders[Статус],"Отменён"))</x:f>
      </x:c>
      <x:c r="M30" s="16" t="str">
        <x:f>IF(A30="","",IF(D30=0,"",E30/D30))</x:f>
      </x:c>
      <x:c r="N30" s="17" t="str">
        <x:f>IF(A30="","",IF(F30=0,"",G30/F30))</x:f>
      </x:c>
      <x:c r="O30" s="11" t="str">
        <x:f>IF(A30="","",SUMIFS(Stock[Остаток],Stock[SKU],A30))</x:f>
      </x:c>
      <x:c r="P30" s="11" t="str">
        <x:f>IF(OR(A30="",E30=""),"",COUNTIFS(Products[Выручка],"&gt;"&amp;E30)+COUNTIFS($E$5:E30,E30,$A$5:A30,"&lt;&gt;"))</x:f>
      </x:c>
      <x:c r="Q30" s="11" t="str">
        <x:f>IF(OR(A30="",G30=""),"",COUNTIFS(Products[Прибыль],"&gt;"&amp;G30)+COUNTIFS($G$5:G30,G30,$A$5:A30,"&lt;&gt;"))</x:f>
      </x:c>
      <x:c r="R30" s="11" t="str">
        <x:f>IF(OR(A30="",I30=""),"",COUNTIFS(Products[Маржа],"&gt;"&amp;I30)+COUNTIFS($I$5:I30,I30,$A$5:A30,"&lt;&gt;"))</x:f>
      </x:c>
      <x:c r="S30" s="11" t="str">
        <x:f>IF(OR(A30="",J30=""),"",COUNTIFS(Products[Наценка],"&gt;"&amp;J30)+COUNTIFS($J$5:J30,J30,$A$5:A30,"&lt;&gt;"))</x:f>
      </x:c>
      <x:c r="T30" s="11" t="str">
        <x:f>IF(OR(A30="",H30&lt;=0),"",COUNTIFS(Products[Убыток],"&gt;"&amp;H30)+COUNTIFS($H$5:H30,H30,$A$5:A30,"&lt;&gt;"))</x:f>
      </x:c>
      <x:c r="U30" s="11" t="str">
        <x:f>IF(OR(A30="",K30&lt;=0),"",COUNTIFS(Products[Возвраты шт.],"&gt;"&amp;K30)+COUNTIFS($K$5:K30,K30,$A$5:A30,"&lt;&gt;"))</x:f>
      </x:c>
      <x:c r="V30" s="11" t="str">
        <x:f>IF(OR(A30="",L30&lt;=0),"",COUNTIFS(Products[Отмены шт.],"&gt;"&amp;L30)+COUNTIFS($L$5:L30,L30,$A$5:A30,"&lt;&gt;"))</x:f>
      </x:c>
    </x:row>
    <x:row r="31" ht="23" customHeight="1">
      <x:c r="A31" s="51"/>
      <x:c r="B31" s="51"/>
      <x:c r="C31" s="51"/>
      <x:c r="D31" s="11" t="str">
        <x:f>IF(A31="","",SUMIFS(Orders[Продано шт.],Orders[Дата],"&gt;="&amp;'Настройки'!$B$4,Orders[Дата],"&lt;"&amp;('Настройки'!$B$5+1),Orders[SKU],A31))</x:f>
      </x:c>
      <x:c r="E31" s="16" t="str">
        <x:f>IF(A31="","",SUMIFS(Orders[Выручка],Orders[Дата],"&gt;="&amp;'Настройки'!$B$4,Orders[Дата],"&lt;"&amp;('Настройки'!$B$5+1),Orders[SKU],A31))</x:f>
      </x:c>
      <x:c r="F31" s="16" t="str">
        <x:f>IF(A31="","",SUMIFS(Orders[Себестоимость],Orders[Дата],"&gt;="&amp;'Настройки'!$B$4,Orders[Дата],"&lt;"&amp;('Настройки'!$B$5+1),Orders[SKU],A31))</x:f>
      </x:c>
      <x:c r="G31" s="16" t="str">
        <x:f>IF(A31="","",SUMIFS(Orders[Прибыль],Orders[Дата],"&gt;="&amp;'Настройки'!$B$4,Orders[Дата],"&lt;"&amp;('Настройки'!$B$5+1),Orders[SKU],A31))</x:f>
      </x:c>
      <x:c r="H31" s="16" t="str">
        <x:f>IF(A31="","",MAX(0,-G31))</x:f>
      </x:c>
      <x:c r="I31" s="17" t="str">
        <x:f>IF(A31="","",IF(E31=0,"",G31/E31))</x:f>
      </x:c>
      <x:c r="J31" s="17" t="str">
        <x:f>IF(A31="","",IF(F31=0,"",(E31-F31)/F31))</x:f>
      </x:c>
      <x:c r="K31" s="11" t="str">
        <x:f>IF(A31="","",SUMIFS(Orders[Количество],Orders[Дата],"&gt;="&amp;'Настройки'!$B$4,Orders[Дата],"&lt;"&amp;('Настройки'!$B$5+1),Orders[SKU],A31,Orders[Статус],"Возврат"))</x:f>
      </x:c>
      <x:c r="L31" s="11" t="str">
        <x:f>IF(A31="","",SUMIFS(Orders[Количество],Orders[Дата],"&gt;="&amp;'Настройки'!$B$4,Orders[Дата],"&lt;"&amp;('Настройки'!$B$5+1),Orders[SKU],A31,Orders[Статус],"Отменён"))</x:f>
      </x:c>
      <x:c r="M31" s="16" t="str">
        <x:f>IF(A31="","",IF(D31=0,"",E31/D31))</x:f>
      </x:c>
      <x:c r="N31" s="17" t="str">
        <x:f>IF(A31="","",IF(F31=0,"",G31/F31))</x:f>
      </x:c>
      <x:c r="O31" s="11" t="str">
        <x:f>IF(A31="","",SUMIFS(Stock[Остаток],Stock[SKU],A31))</x:f>
      </x:c>
      <x:c r="P31" s="11" t="str">
        <x:f>IF(OR(A31="",E31=""),"",COUNTIFS(Products[Выручка],"&gt;"&amp;E31)+COUNTIFS($E$5:E31,E31,$A$5:A31,"&lt;&gt;"))</x:f>
      </x:c>
      <x:c r="Q31" s="11" t="str">
        <x:f>IF(OR(A31="",G31=""),"",COUNTIFS(Products[Прибыль],"&gt;"&amp;G31)+COUNTIFS($G$5:G31,G31,$A$5:A31,"&lt;&gt;"))</x:f>
      </x:c>
      <x:c r="R31" s="11" t="str">
        <x:f>IF(OR(A31="",I31=""),"",COUNTIFS(Products[Маржа],"&gt;"&amp;I31)+COUNTIFS($I$5:I31,I31,$A$5:A31,"&lt;&gt;"))</x:f>
      </x:c>
      <x:c r="S31" s="11" t="str">
        <x:f>IF(OR(A31="",J31=""),"",COUNTIFS(Products[Наценка],"&gt;"&amp;J31)+COUNTIFS($J$5:J31,J31,$A$5:A31,"&lt;&gt;"))</x:f>
      </x:c>
      <x:c r="T31" s="11" t="str">
        <x:f>IF(OR(A31="",H31&lt;=0),"",COUNTIFS(Products[Убыток],"&gt;"&amp;H31)+COUNTIFS($H$5:H31,H31,$A$5:A31,"&lt;&gt;"))</x:f>
      </x:c>
      <x:c r="U31" s="11" t="str">
        <x:f>IF(OR(A31="",K31&lt;=0),"",COUNTIFS(Products[Возвраты шт.],"&gt;"&amp;K31)+COUNTIFS($K$5:K31,K31,$A$5:A31,"&lt;&gt;"))</x:f>
      </x:c>
      <x:c r="V31" s="11" t="str">
        <x:f>IF(OR(A31="",L31&lt;=0),"",COUNTIFS(Products[Отмены шт.],"&gt;"&amp;L31)+COUNTIFS($L$5:L31,L31,$A$5:A31,"&lt;&gt;"))</x:f>
      </x:c>
    </x:row>
    <x:row r="32" ht="23" customHeight="1">
      <x:c r="A32" s="51"/>
      <x:c r="B32" s="51"/>
      <x:c r="C32" s="51"/>
      <x:c r="D32" s="11" t="str">
        <x:f>IF(A32="","",SUMIFS(Orders[Продано шт.],Orders[Дата],"&gt;="&amp;'Настройки'!$B$4,Orders[Дата],"&lt;"&amp;('Настройки'!$B$5+1),Orders[SKU],A32))</x:f>
      </x:c>
      <x:c r="E32" s="16" t="str">
        <x:f>IF(A32="","",SUMIFS(Orders[Выручка],Orders[Дата],"&gt;="&amp;'Настройки'!$B$4,Orders[Дата],"&lt;"&amp;('Настройки'!$B$5+1),Orders[SKU],A32))</x:f>
      </x:c>
      <x:c r="F32" s="16" t="str">
        <x:f>IF(A32="","",SUMIFS(Orders[Себестоимость],Orders[Дата],"&gt;="&amp;'Настройки'!$B$4,Orders[Дата],"&lt;"&amp;('Настройки'!$B$5+1),Orders[SKU],A32))</x:f>
      </x:c>
      <x:c r="G32" s="16" t="str">
        <x:f>IF(A32="","",SUMIFS(Orders[Прибыль],Orders[Дата],"&gt;="&amp;'Настройки'!$B$4,Orders[Дата],"&lt;"&amp;('Настройки'!$B$5+1),Orders[SKU],A32))</x:f>
      </x:c>
      <x:c r="H32" s="16" t="str">
        <x:f>IF(A32="","",MAX(0,-G32))</x:f>
      </x:c>
      <x:c r="I32" s="17" t="str">
        <x:f>IF(A32="","",IF(E32=0,"",G32/E32))</x:f>
      </x:c>
      <x:c r="J32" s="17" t="str">
        <x:f>IF(A32="","",IF(F32=0,"",(E32-F32)/F32))</x:f>
      </x:c>
      <x:c r="K32" s="11" t="str">
        <x:f>IF(A32="","",SUMIFS(Orders[Количество],Orders[Дата],"&gt;="&amp;'Настройки'!$B$4,Orders[Дата],"&lt;"&amp;('Настройки'!$B$5+1),Orders[SKU],A32,Orders[Статус],"Возврат"))</x:f>
      </x:c>
      <x:c r="L32" s="11" t="str">
        <x:f>IF(A32="","",SUMIFS(Orders[Количество],Orders[Дата],"&gt;="&amp;'Настройки'!$B$4,Orders[Дата],"&lt;"&amp;('Настройки'!$B$5+1),Orders[SKU],A32,Orders[Статус],"Отменён"))</x:f>
      </x:c>
      <x:c r="M32" s="16" t="str">
        <x:f>IF(A32="","",IF(D32=0,"",E32/D32))</x:f>
      </x:c>
      <x:c r="N32" s="17" t="str">
        <x:f>IF(A32="","",IF(F32=0,"",G32/F32))</x:f>
      </x:c>
      <x:c r="O32" s="11" t="str">
        <x:f>IF(A32="","",SUMIFS(Stock[Остаток],Stock[SKU],A32))</x:f>
      </x:c>
      <x:c r="P32" s="11" t="str">
        <x:f>IF(OR(A32="",E32=""),"",COUNTIFS(Products[Выручка],"&gt;"&amp;E32)+COUNTIFS($E$5:E32,E32,$A$5:A32,"&lt;&gt;"))</x:f>
      </x:c>
      <x:c r="Q32" s="11" t="str">
        <x:f>IF(OR(A32="",G32=""),"",COUNTIFS(Products[Прибыль],"&gt;"&amp;G32)+COUNTIFS($G$5:G32,G32,$A$5:A32,"&lt;&gt;"))</x:f>
      </x:c>
      <x:c r="R32" s="11" t="str">
        <x:f>IF(OR(A32="",I32=""),"",COUNTIFS(Products[Маржа],"&gt;"&amp;I32)+COUNTIFS($I$5:I32,I32,$A$5:A32,"&lt;&gt;"))</x:f>
      </x:c>
      <x:c r="S32" s="11" t="str">
        <x:f>IF(OR(A32="",J32=""),"",COUNTIFS(Products[Наценка],"&gt;"&amp;J32)+COUNTIFS($J$5:J32,J32,$A$5:A32,"&lt;&gt;"))</x:f>
      </x:c>
      <x:c r="T32" s="11" t="str">
        <x:f>IF(OR(A32="",H32&lt;=0),"",COUNTIFS(Products[Убыток],"&gt;"&amp;H32)+COUNTIFS($H$5:H32,H32,$A$5:A32,"&lt;&gt;"))</x:f>
      </x:c>
      <x:c r="U32" s="11" t="str">
        <x:f>IF(OR(A32="",K32&lt;=0),"",COUNTIFS(Products[Возвраты шт.],"&gt;"&amp;K32)+COUNTIFS($K$5:K32,K32,$A$5:A32,"&lt;&gt;"))</x:f>
      </x:c>
      <x:c r="V32" s="11" t="str">
        <x:f>IF(OR(A32="",L32&lt;=0),"",COUNTIFS(Products[Отмены шт.],"&gt;"&amp;L32)+COUNTIFS($L$5:L32,L32,$A$5:A32,"&lt;&gt;"))</x:f>
      </x:c>
    </x:row>
    <x:row r="33" ht="23" customHeight="1">
      <x:c r="A33" s="51"/>
      <x:c r="B33" s="51"/>
      <x:c r="C33" s="51"/>
      <x:c r="D33" s="11" t="str">
        <x:f>IF(A33="","",SUMIFS(Orders[Продано шт.],Orders[Дата],"&gt;="&amp;'Настройки'!$B$4,Orders[Дата],"&lt;"&amp;('Настройки'!$B$5+1),Orders[SKU],A33))</x:f>
      </x:c>
      <x:c r="E33" s="16" t="str">
        <x:f>IF(A33="","",SUMIFS(Orders[Выручка],Orders[Дата],"&gt;="&amp;'Настройки'!$B$4,Orders[Дата],"&lt;"&amp;('Настройки'!$B$5+1),Orders[SKU],A33))</x:f>
      </x:c>
      <x:c r="F33" s="16" t="str">
        <x:f>IF(A33="","",SUMIFS(Orders[Себестоимость],Orders[Дата],"&gt;="&amp;'Настройки'!$B$4,Orders[Дата],"&lt;"&amp;('Настройки'!$B$5+1),Orders[SKU],A33))</x:f>
      </x:c>
      <x:c r="G33" s="16" t="str">
        <x:f>IF(A33="","",SUMIFS(Orders[Прибыль],Orders[Дата],"&gt;="&amp;'Настройки'!$B$4,Orders[Дата],"&lt;"&amp;('Настройки'!$B$5+1),Orders[SKU],A33))</x:f>
      </x:c>
      <x:c r="H33" s="16" t="str">
        <x:f>IF(A33="","",MAX(0,-G33))</x:f>
      </x:c>
      <x:c r="I33" s="17" t="str">
        <x:f>IF(A33="","",IF(E33=0,"",G33/E33))</x:f>
      </x:c>
      <x:c r="J33" s="17" t="str">
        <x:f>IF(A33="","",IF(F33=0,"",(E33-F33)/F33))</x:f>
      </x:c>
      <x:c r="K33" s="11" t="str">
        <x:f>IF(A33="","",SUMIFS(Orders[Количество],Orders[Дата],"&gt;="&amp;'Настройки'!$B$4,Orders[Дата],"&lt;"&amp;('Настройки'!$B$5+1),Orders[SKU],A33,Orders[Статус],"Возврат"))</x:f>
      </x:c>
      <x:c r="L33" s="11" t="str">
        <x:f>IF(A33="","",SUMIFS(Orders[Количество],Orders[Дата],"&gt;="&amp;'Настройки'!$B$4,Orders[Дата],"&lt;"&amp;('Настройки'!$B$5+1),Orders[SKU],A33,Orders[Статус],"Отменён"))</x:f>
      </x:c>
      <x:c r="M33" s="16" t="str">
        <x:f>IF(A33="","",IF(D33=0,"",E33/D33))</x:f>
      </x:c>
      <x:c r="N33" s="17" t="str">
        <x:f>IF(A33="","",IF(F33=0,"",G33/F33))</x:f>
      </x:c>
      <x:c r="O33" s="11" t="str">
        <x:f>IF(A33="","",SUMIFS(Stock[Остаток],Stock[SKU],A33))</x:f>
      </x:c>
      <x:c r="P33" s="11" t="str">
        <x:f>IF(OR(A33="",E33=""),"",COUNTIFS(Products[Выручка],"&gt;"&amp;E33)+COUNTIFS($E$5:E33,E33,$A$5:A33,"&lt;&gt;"))</x:f>
      </x:c>
      <x:c r="Q33" s="11" t="str">
        <x:f>IF(OR(A33="",G33=""),"",COUNTIFS(Products[Прибыль],"&gt;"&amp;G33)+COUNTIFS($G$5:G33,G33,$A$5:A33,"&lt;&gt;"))</x:f>
      </x:c>
      <x:c r="R33" s="11" t="str">
        <x:f>IF(OR(A33="",I33=""),"",COUNTIFS(Products[Маржа],"&gt;"&amp;I33)+COUNTIFS($I$5:I33,I33,$A$5:A33,"&lt;&gt;"))</x:f>
      </x:c>
      <x:c r="S33" s="11" t="str">
        <x:f>IF(OR(A33="",J33=""),"",COUNTIFS(Products[Наценка],"&gt;"&amp;J33)+COUNTIFS($J$5:J33,J33,$A$5:A33,"&lt;&gt;"))</x:f>
      </x:c>
      <x:c r="T33" s="11" t="str">
        <x:f>IF(OR(A33="",H33&lt;=0),"",COUNTIFS(Products[Убыток],"&gt;"&amp;H33)+COUNTIFS($H$5:H33,H33,$A$5:A33,"&lt;&gt;"))</x:f>
      </x:c>
      <x:c r="U33" s="11" t="str">
        <x:f>IF(OR(A33="",K33&lt;=0),"",COUNTIFS(Products[Возвраты шт.],"&gt;"&amp;K33)+COUNTIFS($K$5:K33,K33,$A$5:A33,"&lt;&gt;"))</x:f>
      </x:c>
      <x:c r="V33" s="11" t="str">
        <x:f>IF(OR(A33="",L33&lt;=0),"",COUNTIFS(Products[Отмены шт.],"&gt;"&amp;L33)+COUNTIFS($L$5:L33,L33,$A$5:A33,"&lt;&gt;"))</x:f>
      </x:c>
    </x:row>
    <x:row r="34" ht="23" customHeight="1">
      <x:c r="A34" s="51"/>
      <x:c r="B34" s="51"/>
      <x:c r="C34" s="51"/>
      <x:c r="D34" s="11" t="str">
        <x:f>IF(A34="","",SUMIFS(Orders[Продано шт.],Orders[Дата],"&gt;="&amp;'Настройки'!$B$4,Orders[Дата],"&lt;"&amp;('Настройки'!$B$5+1),Orders[SKU],A34))</x:f>
      </x:c>
      <x:c r="E34" s="16" t="str">
        <x:f>IF(A34="","",SUMIFS(Orders[Выручка],Orders[Дата],"&gt;="&amp;'Настройки'!$B$4,Orders[Дата],"&lt;"&amp;('Настройки'!$B$5+1),Orders[SKU],A34))</x:f>
      </x:c>
      <x:c r="F34" s="16" t="str">
        <x:f>IF(A34="","",SUMIFS(Orders[Себестоимость],Orders[Дата],"&gt;="&amp;'Настройки'!$B$4,Orders[Дата],"&lt;"&amp;('Настройки'!$B$5+1),Orders[SKU],A34))</x:f>
      </x:c>
      <x:c r="G34" s="16" t="str">
        <x:f>IF(A34="","",SUMIFS(Orders[Прибыль],Orders[Дата],"&gt;="&amp;'Настройки'!$B$4,Orders[Дата],"&lt;"&amp;('Настройки'!$B$5+1),Orders[SKU],A34))</x:f>
      </x:c>
      <x:c r="H34" s="16" t="str">
        <x:f>IF(A34="","",MAX(0,-G34))</x:f>
      </x:c>
      <x:c r="I34" s="17" t="str">
        <x:f>IF(A34="","",IF(E34=0,"",G34/E34))</x:f>
      </x:c>
      <x:c r="J34" s="17" t="str">
        <x:f>IF(A34="","",IF(F34=0,"",(E34-F34)/F34))</x:f>
      </x:c>
      <x:c r="K34" s="11" t="str">
        <x:f>IF(A34="","",SUMIFS(Orders[Количество],Orders[Дата],"&gt;="&amp;'Настройки'!$B$4,Orders[Дата],"&lt;"&amp;('Настройки'!$B$5+1),Orders[SKU],A34,Orders[Статус],"Возврат"))</x:f>
      </x:c>
      <x:c r="L34" s="11" t="str">
        <x:f>IF(A34="","",SUMIFS(Orders[Количество],Orders[Дата],"&gt;="&amp;'Настройки'!$B$4,Orders[Дата],"&lt;"&amp;('Настройки'!$B$5+1),Orders[SKU],A34,Orders[Статус],"Отменён"))</x:f>
      </x:c>
      <x:c r="M34" s="16" t="str">
        <x:f>IF(A34="","",IF(D34=0,"",E34/D34))</x:f>
      </x:c>
      <x:c r="N34" s="17" t="str">
        <x:f>IF(A34="","",IF(F34=0,"",G34/F34))</x:f>
      </x:c>
      <x:c r="O34" s="11" t="str">
        <x:f>IF(A34="","",SUMIFS(Stock[Остаток],Stock[SKU],A34))</x:f>
      </x:c>
      <x:c r="P34" s="11" t="str">
        <x:f>IF(OR(A34="",E34=""),"",COUNTIFS(Products[Выручка],"&gt;"&amp;E34)+COUNTIFS($E$5:E34,E34,$A$5:A34,"&lt;&gt;"))</x:f>
      </x:c>
      <x:c r="Q34" s="11" t="str">
        <x:f>IF(OR(A34="",G34=""),"",COUNTIFS(Products[Прибыль],"&gt;"&amp;G34)+COUNTIFS($G$5:G34,G34,$A$5:A34,"&lt;&gt;"))</x:f>
      </x:c>
      <x:c r="R34" s="11" t="str">
        <x:f>IF(OR(A34="",I34=""),"",COUNTIFS(Products[Маржа],"&gt;"&amp;I34)+COUNTIFS($I$5:I34,I34,$A$5:A34,"&lt;&gt;"))</x:f>
      </x:c>
      <x:c r="S34" s="11" t="str">
        <x:f>IF(OR(A34="",J34=""),"",COUNTIFS(Products[Наценка],"&gt;"&amp;J34)+COUNTIFS($J$5:J34,J34,$A$5:A34,"&lt;&gt;"))</x:f>
      </x:c>
      <x:c r="T34" s="11" t="str">
        <x:f>IF(OR(A34="",H34&lt;=0),"",COUNTIFS(Products[Убыток],"&gt;"&amp;H34)+COUNTIFS($H$5:H34,H34,$A$5:A34,"&lt;&gt;"))</x:f>
      </x:c>
      <x:c r="U34" s="11" t="str">
        <x:f>IF(OR(A34="",K34&lt;=0),"",COUNTIFS(Products[Возвраты шт.],"&gt;"&amp;K34)+COUNTIFS($K$5:K34,K34,$A$5:A34,"&lt;&gt;"))</x:f>
      </x:c>
      <x:c r="V34" s="11" t="str">
        <x:f>IF(OR(A34="",L34&lt;=0),"",COUNTIFS(Products[Отмены шт.],"&gt;"&amp;L34)+COUNTIFS($L$5:L34,L34,$A$5:A34,"&lt;&gt;"))</x:f>
      </x:c>
    </x:row>
    <x:row r="35" ht="23" customHeight="1">
      <x:c r="A35" s="51"/>
      <x:c r="B35" s="51"/>
      <x:c r="C35" s="51"/>
      <x:c r="D35" s="11" t="str">
        <x:f>IF(A35="","",SUMIFS(Orders[Продано шт.],Orders[Дата],"&gt;="&amp;'Настройки'!$B$4,Orders[Дата],"&lt;"&amp;('Настройки'!$B$5+1),Orders[SKU],A35))</x:f>
      </x:c>
      <x:c r="E35" s="16" t="str">
        <x:f>IF(A35="","",SUMIFS(Orders[Выручка],Orders[Дата],"&gt;="&amp;'Настройки'!$B$4,Orders[Дата],"&lt;"&amp;('Настройки'!$B$5+1),Orders[SKU],A35))</x:f>
      </x:c>
      <x:c r="F35" s="16" t="str">
        <x:f>IF(A35="","",SUMIFS(Orders[Себестоимость],Orders[Дата],"&gt;="&amp;'Настройки'!$B$4,Orders[Дата],"&lt;"&amp;('Настройки'!$B$5+1),Orders[SKU],A35))</x:f>
      </x:c>
      <x:c r="G35" s="16" t="str">
        <x:f>IF(A35="","",SUMIFS(Orders[Прибыль],Orders[Дата],"&gt;="&amp;'Настройки'!$B$4,Orders[Дата],"&lt;"&amp;('Настройки'!$B$5+1),Orders[SKU],A35))</x:f>
      </x:c>
      <x:c r="H35" s="16" t="str">
        <x:f>IF(A35="","",MAX(0,-G35))</x:f>
      </x:c>
      <x:c r="I35" s="17" t="str">
        <x:f>IF(A35="","",IF(E35=0,"",G35/E35))</x:f>
      </x:c>
      <x:c r="J35" s="17" t="str">
        <x:f>IF(A35="","",IF(F35=0,"",(E35-F35)/F35))</x:f>
      </x:c>
      <x:c r="K35" s="11" t="str">
        <x:f>IF(A35="","",SUMIFS(Orders[Количество],Orders[Дата],"&gt;="&amp;'Настройки'!$B$4,Orders[Дата],"&lt;"&amp;('Настройки'!$B$5+1),Orders[SKU],A35,Orders[Статус],"Возврат"))</x:f>
      </x:c>
      <x:c r="L35" s="11" t="str">
        <x:f>IF(A35="","",SUMIFS(Orders[Количество],Orders[Дата],"&gt;="&amp;'Настройки'!$B$4,Orders[Дата],"&lt;"&amp;('Настройки'!$B$5+1),Orders[SKU],A35,Orders[Статус],"Отменён"))</x:f>
      </x:c>
      <x:c r="M35" s="16" t="str">
        <x:f>IF(A35="","",IF(D35=0,"",E35/D35))</x:f>
      </x:c>
      <x:c r="N35" s="17" t="str">
        <x:f>IF(A35="","",IF(F35=0,"",G35/F35))</x:f>
      </x:c>
      <x:c r="O35" s="11" t="str">
        <x:f>IF(A35="","",SUMIFS(Stock[Остаток],Stock[SKU],A35))</x:f>
      </x:c>
      <x:c r="P35" s="11" t="str">
        <x:f>IF(OR(A35="",E35=""),"",COUNTIFS(Products[Выручка],"&gt;"&amp;E35)+COUNTIFS($E$5:E35,E35,$A$5:A35,"&lt;&gt;"))</x:f>
      </x:c>
      <x:c r="Q35" s="11" t="str">
        <x:f>IF(OR(A35="",G35=""),"",COUNTIFS(Products[Прибыль],"&gt;"&amp;G35)+COUNTIFS($G$5:G35,G35,$A$5:A35,"&lt;&gt;"))</x:f>
      </x:c>
      <x:c r="R35" s="11" t="str">
        <x:f>IF(OR(A35="",I35=""),"",COUNTIFS(Products[Маржа],"&gt;"&amp;I35)+COUNTIFS($I$5:I35,I35,$A$5:A35,"&lt;&gt;"))</x:f>
      </x:c>
      <x:c r="S35" s="11" t="str">
        <x:f>IF(OR(A35="",J35=""),"",COUNTIFS(Products[Наценка],"&gt;"&amp;J35)+COUNTIFS($J$5:J35,J35,$A$5:A35,"&lt;&gt;"))</x:f>
      </x:c>
      <x:c r="T35" s="11" t="str">
        <x:f>IF(OR(A35="",H35&lt;=0),"",COUNTIFS(Products[Убыток],"&gt;"&amp;H35)+COUNTIFS($H$5:H35,H35,$A$5:A35,"&lt;&gt;"))</x:f>
      </x:c>
      <x:c r="U35" s="11" t="str">
        <x:f>IF(OR(A35="",K35&lt;=0),"",COUNTIFS(Products[Возвраты шт.],"&gt;"&amp;K35)+COUNTIFS($K$5:K35,K35,$A$5:A35,"&lt;&gt;"))</x:f>
      </x:c>
      <x:c r="V35" s="11" t="str">
        <x:f>IF(OR(A35="",L35&lt;=0),"",COUNTIFS(Products[Отмены шт.],"&gt;"&amp;L35)+COUNTIFS($L$5:L35,L35,$A$5:A35,"&lt;&gt;"))</x:f>
      </x:c>
    </x:row>
    <x:row r="36" ht="23" customHeight="1">
      <x:c r="A36" s="51"/>
      <x:c r="B36" s="51"/>
      <x:c r="C36" s="51"/>
      <x:c r="D36" s="11" t="str">
        <x:f>IF(A36="","",SUMIFS(Orders[Продано шт.],Orders[Дата],"&gt;="&amp;'Настройки'!$B$4,Orders[Дата],"&lt;"&amp;('Настройки'!$B$5+1),Orders[SKU],A36))</x:f>
      </x:c>
      <x:c r="E36" s="16" t="str">
        <x:f>IF(A36="","",SUMIFS(Orders[Выручка],Orders[Дата],"&gt;="&amp;'Настройки'!$B$4,Orders[Дата],"&lt;"&amp;('Настройки'!$B$5+1),Orders[SKU],A36))</x:f>
      </x:c>
      <x:c r="F36" s="16" t="str">
        <x:f>IF(A36="","",SUMIFS(Orders[Себестоимость],Orders[Дата],"&gt;="&amp;'Настройки'!$B$4,Orders[Дата],"&lt;"&amp;('Настройки'!$B$5+1),Orders[SKU],A36))</x:f>
      </x:c>
      <x:c r="G36" s="16" t="str">
        <x:f>IF(A36="","",SUMIFS(Orders[Прибыль],Orders[Дата],"&gt;="&amp;'Настройки'!$B$4,Orders[Дата],"&lt;"&amp;('Настройки'!$B$5+1),Orders[SKU],A36))</x:f>
      </x:c>
      <x:c r="H36" s="16" t="str">
        <x:f>IF(A36="","",MAX(0,-G36))</x:f>
      </x:c>
      <x:c r="I36" s="17" t="str">
        <x:f>IF(A36="","",IF(E36=0,"",G36/E36))</x:f>
      </x:c>
      <x:c r="J36" s="17" t="str">
        <x:f>IF(A36="","",IF(F36=0,"",(E36-F36)/F36))</x:f>
      </x:c>
      <x:c r="K36" s="11" t="str">
        <x:f>IF(A36="","",SUMIFS(Orders[Количество],Orders[Дата],"&gt;="&amp;'Настройки'!$B$4,Orders[Дата],"&lt;"&amp;('Настройки'!$B$5+1),Orders[SKU],A36,Orders[Статус],"Возврат"))</x:f>
      </x:c>
      <x:c r="L36" s="11" t="str">
        <x:f>IF(A36="","",SUMIFS(Orders[Количество],Orders[Дата],"&gt;="&amp;'Настройки'!$B$4,Orders[Дата],"&lt;"&amp;('Настройки'!$B$5+1),Orders[SKU],A36,Orders[Статус],"Отменён"))</x:f>
      </x:c>
      <x:c r="M36" s="16" t="str">
        <x:f>IF(A36="","",IF(D36=0,"",E36/D36))</x:f>
      </x:c>
      <x:c r="N36" s="17" t="str">
        <x:f>IF(A36="","",IF(F36=0,"",G36/F36))</x:f>
      </x:c>
      <x:c r="O36" s="11" t="str">
        <x:f>IF(A36="","",SUMIFS(Stock[Остаток],Stock[SKU],A36))</x:f>
      </x:c>
      <x:c r="P36" s="11" t="str">
        <x:f>IF(OR(A36="",E36=""),"",COUNTIFS(Products[Выручка],"&gt;"&amp;E36)+COUNTIFS($E$5:E36,E36,$A$5:A36,"&lt;&gt;"))</x:f>
      </x:c>
      <x:c r="Q36" s="11" t="str">
        <x:f>IF(OR(A36="",G36=""),"",COUNTIFS(Products[Прибыль],"&gt;"&amp;G36)+COUNTIFS($G$5:G36,G36,$A$5:A36,"&lt;&gt;"))</x:f>
      </x:c>
      <x:c r="R36" s="11" t="str">
        <x:f>IF(OR(A36="",I36=""),"",COUNTIFS(Products[Маржа],"&gt;"&amp;I36)+COUNTIFS($I$5:I36,I36,$A$5:A36,"&lt;&gt;"))</x:f>
      </x:c>
      <x:c r="S36" s="11" t="str">
        <x:f>IF(OR(A36="",J36=""),"",COUNTIFS(Products[Наценка],"&gt;"&amp;J36)+COUNTIFS($J$5:J36,J36,$A$5:A36,"&lt;&gt;"))</x:f>
      </x:c>
      <x:c r="T36" s="11" t="str">
        <x:f>IF(OR(A36="",H36&lt;=0),"",COUNTIFS(Products[Убыток],"&gt;"&amp;H36)+COUNTIFS($H$5:H36,H36,$A$5:A36,"&lt;&gt;"))</x:f>
      </x:c>
      <x:c r="U36" s="11" t="str">
        <x:f>IF(OR(A36="",K36&lt;=0),"",COUNTIFS(Products[Возвраты шт.],"&gt;"&amp;K36)+COUNTIFS($K$5:K36,K36,$A$5:A36,"&lt;&gt;"))</x:f>
      </x:c>
      <x:c r="V36" s="11" t="str">
        <x:f>IF(OR(A36="",L36&lt;=0),"",COUNTIFS(Products[Отмены шт.],"&gt;"&amp;L36)+COUNTIFS($L$5:L36,L36,$A$5:A36,"&lt;&gt;"))</x:f>
      </x:c>
    </x:row>
    <x:row r="37" ht="23" customHeight="1">
      <x:c r="A37" s="51"/>
      <x:c r="B37" s="51"/>
      <x:c r="C37" s="51"/>
      <x:c r="D37" s="11" t="str">
        <x:f>IF(A37="","",SUMIFS(Orders[Продано шт.],Orders[Дата],"&gt;="&amp;'Настройки'!$B$4,Orders[Дата],"&lt;"&amp;('Настройки'!$B$5+1),Orders[SKU],A37))</x:f>
      </x:c>
      <x:c r="E37" s="16" t="str">
        <x:f>IF(A37="","",SUMIFS(Orders[Выручка],Orders[Дата],"&gt;="&amp;'Настройки'!$B$4,Orders[Дата],"&lt;"&amp;('Настройки'!$B$5+1),Orders[SKU],A37))</x:f>
      </x:c>
      <x:c r="F37" s="16" t="str">
        <x:f>IF(A37="","",SUMIFS(Orders[Себестоимость],Orders[Дата],"&gt;="&amp;'Настройки'!$B$4,Orders[Дата],"&lt;"&amp;('Настройки'!$B$5+1),Orders[SKU],A37))</x:f>
      </x:c>
      <x:c r="G37" s="16" t="str">
        <x:f>IF(A37="","",SUMIFS(Orders[Прибыль],Orders[Дата],"&gt;="&amp;'Настройки'!$B$4,Orders[Дата],"&lt;"&amp;('Настройки'!$B$5+1),Orders[SKU],A37))</x:f>
      </x:c>
      <x:c r="H37" s="16" t="str">
        <x:f>IF(A37="","",MAX(0,-G37))</x:f>
      </x:c>
      <x:c r="I37" s="17" t="str">
        <x:f>IF(A37="","",IF(E37=0,"",G37/E37))</x:f>
      </x:c>
      <x:c r="J37" s="17" t="str">
        <x:f>IF(A37="","",IF(F37=0,"",(E37-F37)/F37))</x:f>
      </x:c>
      <x:c r="K37" s="11" t="str">
        <x:f>IF(A37="","",SUMIFS(Orders[Количество],Orders[Дата],"&gt;="&amp;'Настройки'!$B$4,Orders[Дата],"&lt;"&amp;('Настройки'!$B$5+1),Orders[SKU],A37,Orders[Статус],"Возврат"))</x:f>
      </x:c>
      <x:c r="L37" s="11" t="str">
        <x:f>IF(A37="","",SUMIFS(Orders[Количество],Orders[Дата],"&gt;="&amp;'Настройки'!$B$4,Orders[Дата],"&lt;"&amp;('Настройки'!$B$5+1),Orders[SKU],A37,Orders[Статус],"Отменён"))</x:f>
      </x:c>
      <x:c r="M37" s="16" t="str">
        <x:f>IF(A37="","",IF(D37=0,"",E37/D37))</x:f>
      </x:c>
      <x:c r="N37" s="17" t="str">
        <x:f>IF(A37="","",IF(F37=0,"",G37/F37))</x:f>
      </x:c>
      <x:c r="O37" s="11" t="str">
        <x:f>IF(A37="","",SUMIFS(Stock[Остаток],Stock[SKU],A37))</x:f>
      </x:c>
      <x:c r="P37" s="11" t="str">
        <x:f>IF(OR(A37="",E37=""),"",COUNTIFS(Products[Выручка],"&gt;"&amp;E37)+COUNTIFS($E$5:E37,E37,$A$5:A37,"&lt;&gt;"))</x:f>
      </x:c>
      <x:c r="Q37" s="11" t="str">
        <x:f>IF(OR(A37="",G37=""),"",COUNTIFS(Products[Прибыль],"&gt;"&amp;G37)+COUNTIFS($G$5:G37,G37,$A$5:A37,"&lt;&gt;"))</x:f>
      </x:c>
      <x:c r="R37" s="11" t="str">
        <x:f>IF(OR(A37="",I37=""),"",COUNTIFS(Products[Маржа],"&gt;"&amp;I37)+COUNTIFS($I$5:I37,I37,$A$5:A37,"&lt;&gt;"))</x:f>
      </x:c>
      <x:c r="S37" s="11" t="str">
        <x:f>IF(OR(A37="",J37=""),"",COUNTIFS(Products[Наценка],"&gt;"&amp;J37)+COUNTIFS($J$5:J37,J37,$A$5:A37,"&lt;&gt;"))</x:f>
      </x:c>
      <x:c r="T37" s="11" t="str">
        <x:f>IF(OR(A37="",H37&lt;=0),"",COUNTIFS(Products[Убыток],"&gt;"&amp;H37)+COUNTIFS($H$5:H37,H37,$A$5:A37,"&lt;&gt;"))</x:f>
      </x:c>
      <x:c r="U37" s="11" t="str">
        <x:f>IF(OR(A37="",K37&lt;=0),"",COUNTIFS(Products[Возвраты шт.],"&gt;"&amp;K37)+COUNTIFS($K$5:K37,K37,$A$5:A37,"&lt;&gt;"))</x:f>
      </x:c>
      <x:c r="V37" s="11" t="str">
        <x:f>IF(OR(A37="",L37&lt;=0),"",COUNTIFS(Products[Отмены шт.],"&gt;"&amp;L37)+COUNTIFS($L$5:L37,L37,$A$5:A37,"&lt;&gt;"))</x:f>
      </x:c>
    </x:row>
    <x:row r="38" ht="23" customHeight="1">
      <x:c r="A38" s="51"/>
      <x:c r="B38" s="51"/>
      <x:c r="C38" s="51"/>
      <x:c r="D38" s="11" t="str">
        <x:f>IF(A38="","",SUMIFS(Orders[Продано шт.],Orders[Дата],"&gt;="&amp;'Настройки'!$B$4,Orders[Дата],"&lt;"&amp;('Настройки'!$B$5+1),Orders[SKU],A38))</x:f>
      </x:c>
      <x:c r="E38" s="16" t="str">
        <x:f>IF(A38="","",SUMIFS(Orders[Выручка],Orders[Дата],"&gt;="&amp;'Настройки'!$B$4,Orders[Дата],"&lt;"&amp;('Настройки'!$B$5+1),Orders[SKU],A38))</x:f>
      </x:c>
      <x:c r="F38" s="16" t="str">
        <x:f>IF(A38="","",SUMIFS(Orders[Себестоимость],Orders[Дата],"&gt;="&amp;'Настройки'!$B$4,Orders[Дата],"&lt;"&amp;('Настройки'!$B$5+1),Orders[SKU],A38))</x:f>
      </x:c>
      <x:c r="G38" s="16" t="str">
        <x:f>IF(A38="","",SUMIFS(Orders[Прибыль],Orders[Дата],"&gt;="&amp;'Настройки'!$B$4,Orders[Дата],"&lt;"&amp;('Настройки'!$B$5+1),Orders[SKU],A38))</x:f>
      </x:c>
      <x:c r="H38" s="16" t="str">
        <x:f>IF(A38="","",MAX(0,-G38))</x:f>
      </x:c>
      <x:c r="I38" s="17" t="str">
        <x:f>IF(A38="","",IF(E38=0,"",G38/E38))</x:f>
      </x:c>
      <x:c r="J38" s="17" t="str">
        <x:f>IF(A38="","",IF(F38=0,"",(E38-F38)/F38))</x:f>
      </x:c>
      <x:c r="K38" s="11" t="str">
        <x:f>IF(A38="","",SUMIFS(Orders[Количество],Orders[Дата],"&gt;="&amp;'Настройки'!$B$4,Orders[Дата],"&lt;"&amp;('Настройки'!$B$5+1),Orders[SKU],A38,Orders[Статус],"Возврат"))</x:f>
      </x:c>
      <x:c r="L38" s="11" t="str">
        <x:f>IF(A38="","",SUMIFS(Orders[Количество],Orders[Дата],"&gt;="&amp;'Настройки'!$B$4,Orders[Дата],"&lt;"&amp;('Настройки'!$B$5+1),Orders[SKU],A38,Orders[Статус],"Отменён"))</x:f>
      </x:c>
      <x:c r="M38" s="16" t="str">
        <x:f>IF(A38="","",IF(D38=0,"",E38/D38))</x:f>
      </x:c>
      <x:c r="N38" s="17" t="str">
        <x:f>IF(A38="","",IF(F38=0,"",G38/F38))</x:f>
      </x:c>
      <x:c r="O38" s="11" t="str">
        <x:f>IF(A38="","",SUMIFS(Stock[Остаток],Stock[SKU],A38))</x:f>
      </x:c>
      <x:c r="P38" s="11" t="str">
        <x:f>IF(OR(A38="",E38=""),"",COUNTIFS(Products[Выручка],"&gt;"&amp;E38)+COUNTIFS($E$5:E38,E38,$A$5:A38,"&lt;&gt;"))</x:f>
      </x:c>
      <x:c r="Q38" s="11" t="str">
        <x:f>IF(OR(A38="",G38=""),"",COUNTIFS(Products[Прибыль],"&gt;"&amp;G38)+COUNTIFS($G$5:G38,G38,$A$5:A38,"&lt;&gt;"))</x:f>
      </x:c>
      <x:c r="R38" s="11" t="str">
        <x:f>IF(OR(A38="",I38=""),"",COUNTIFS(Products[Маржа],"&gt;"&amp;I38)+COUNTIFS($I$5:I38,I38,$A$5:A38,"&lt;&gt;"))</x:f>
      </x:c>
      <x:c r="S38" s="11" t="str">
        <x:f>IF(OR(A38="",J38=""),"",COUNTIFS(Products[Наценка],"&gt;"&amp;J38)+COUNTIFS($J$5:J38,J38,$A$5:A38,"&lt;&gt;"))</x:f>
      </x:c>
      <x:c r="T38" s="11" t="str">
        <x:f>IF(OR(A38="",H38&lt;=0),"",COUNTIFS(Products[Убыток],"&gt;"&amp;H38)+COUNTIFS($H$5:H38,H38,$A$5:A38,"&lt;&gt;"))</x:f>
      </x:c>
      <x:c r="U38" s="11" t="str">
        <x:f>IF(OR(A38="",K38&lt;=0),"",COUNTIFS(Products[Возвраты шт.],"&gt;"&amp;K38)+COUNTIFS($K$5:K38,K38,$A$5:A38,"&lt;&gt;"))</x:f>
      </x:c>
      <x:c r="V38" s="11" t="str">
        <x:f>IF(OR(A38="",L38&lt;=0),"",COUNTIFS(Products[Отмены шт.],"&gt;"&amp;L38)+COUNTIFS($L$5:L38,L38,$A$5:A38,"&lt;&gt;"))</x:f>
      </x:c>
    </x:row>
    <x:row r="39" ht="23" customHeight="1">
      <x:c r="A39" s="51"/>
      <x:c r="B39" s="51"/>
      <x:c r="C39" s="51"/>
      <x:c r="D39" s="11" t="str">
        <x:f>IF(A39="","",SUMIFS(Orders[Продано шт.],Orders[Дата],"&gt;="&amp;'Настройки'!$B$4,Orders[Дата],"&lt;"&amp;('Настройки'!$B$5+1),Orders[SKU],A39))</x:f>
      </x:c>
      <x:c r="E39" s="16" t="str">
        <x:f>IF(A39="","",SUMIFS(Orders[Выручка],Orders[Дата],"&gt;="&amp;'Настройки'!$B$4,Orders[Дата],"&lt;"&amp;('Настройки'!$B$5+1),Orders[SKU],A39))</x:f>
      </x:c>
      <x:c r="F39" s="16" t="str">
        <x:f>IF(A39="","",SUMIFS(Orders[Себестоимость],Orders[Дата],"&gt;="&amp;'Настройки'!$B$4,Orders[Дата],"&lt;"&amp;('Настройки'!$B$5+1),Orders[SKU],A39))</x:f>
      </x:c>
      <x:c r="G39" s="16" t="str">
        <x:f>IF(A39="","",SUMIFS(Orders[Прибыль],Orders[Дата],"&gt;="&amp;'Настройки'!$B$4,Orders[Дата],"&lt;"&amp;('Настройки'!$B$5+1),Orders[SKU],A39))</x:f>
      </x:c>
      <x:c r="H39" s="16" t="str">
        <x:f>IF(A39="","",MAX(0,-G39))</x:f>
      </x:c>
      <x:c r="I39" s="17" t="str">
        <x:f>IF(A39="","",IF(E39=0,"",G39/E39))</x:f>
      </x:c>
      <x:c r="J39" s="17" t="str">
        <x:f>IF(A39="","",IF(F39=0,"",(E39-F39)/F39))</x:f>
      </x:c>
      <x:c r="K39" s="11" t="str">
        <x:f>IF(A39="","",SUMIFS(Orders[Количество],Orders[Дата],"&gt;="&amp;'Настройки'!$B$4,Orders[Дата],"&lt;"&amp;('Настройки'!$B$5+1),Orders[SKU],A39,Orders[Статус],"Возврат"))</x:f>
      </x:c>
      <x:c r="L39" s="11" t="str">
        <x:f>IF(A39="","",SUMIFS(Orders[Количество],Orders[Дата],"&gt;="&amp;'Настройки'!$B$4,Orders[Дата],"&lt;"&amp;('Настройки'!$B$5+1),Orders[SKU],A39,Orders[Статус],"Отменён"))</x:f>
      </x:c>
      <x:c r="M39" s="16" t="str">
        <x:f>IF(A39="","",IF(D39=0,"",E39/D39))</x:f>
      </x:c>
      <x:c r="N39" s="17" t="str">
        <x:f>IF(A39="","",IF(F39=0,"",G39/F39))</x:f>
      </x:c>
      <x:c r="O39" s="11" t="str">
        <x:f>IF(A39="","",SUMIFS(Stock[Остаток],Stock[SKU],A39))</x:f>
      </x:c>
      <x:c r="P39" s="11" t="str">
        <x:f>IF(OR(A39="",E39=""),"",COUNTIFS(Products[Выручка],"&gt;"&amp;E39)+COUNTIFS($E$5:E39,E39,$A$5:A39,"&lt;&gt;"))</x:f>
      </x:c>
      <x:c r="Q39" s="11" t="str">
        <x:f>IF(OR(A39="",G39=""),"",COUNTIFS(Products[Прибыль],"&gt;"&amp;G39)+COUNTIFS($G$5:G39,G39,$A$5:A39,"&lt;&gt;"))</x:f>
      </x:c>
      <x:c r="R39" s="11" t="str">
        <x:f>IF(OR(A39="",I39=""),"",COUNTIFS(Products[Маржа],"&gt;"&amp;I39)+COUNTIFS($I$5:I39,I39,$A$5:A39,"&lt;&gt;"))</x:f>
      </x:c>
      <x:c r="S39" s="11" t="str">
        <x:f>IF(OR(A39="",J39=""),"",COUNTIFS(Products[Наценка],"&gt;"&amp;J39)+COUNTIFS($J$5:J39,J39,$A$5:A39,"&lt;&gt;"))</x:f>
      </x:c>
      <x:c r="T39" s="11" t="str">
        <x:f>IF(OR(A39="",H39&lt;=0),"",COUNTIFS(Products[Убыток],"&gt;"&amp;H39)+COUNTIFS($H$5:H39,H39,$A$5:A39,"&lt;&gt;"))</x:f>
      </x:c>
      <x:c r="U39" s="11" t="str">
        <x:f>IF(OR(A39="",K39&lt;=0),"",COUNTIFS(Products[Возвраты шт.],"&gt;"&amp;K39)+COUNTIFS($K$5:K39,K39,$A$5:A39,"&lt;&gt;"))</x:f>
      </x:c>
      <x:c r="V39" s="11" t="str">
        <x:f>IF(OR(A39="",L39&lt;=0),"",COUNTIFS(Products[Отмены шт.],"&gt;"&amp;L39)+COUNTIFS($L$5:L39,L39,$A$5:A39,"&lt;&gt;"))</x:f>
      </x:c>
    </x:row>
    <x:row r="40" ht="23" customHeight="1">
      <x:c r="A40" s="51"/>
      <x:c r="B40" s="51"/>
      <x:c r="C40" s="51"/>
      <x:c r="D40" s="11" t="str">
        <x:f>IF(A40="","",SUMIFS(Orders[Продано шт.],Orders[Дата],"&gt;="&amp;'Настройки'!$B$4,Orders[Дата],"&lt;"&amp;('Настройки'!$B$5+1),Orders[SKU],A40))</x:f>
      </x:c>
      <x:c r="E40" s="16" t="str">
        <x:f>IF(A40="","",SUMIFS(Orders[Выручка],Orders[Дата],"&gt;="&amp;'Настройки'!$B$4,Orders[Дата],"&lt;"&amp;('Настройки'!$B$5+1),Orders[SKU],A40))</x:f>
      </x:c>
      <x:c r="F40" s="16" t="str">
        <x:f>IF(A40="","",SUMIFS(Orders[Себестоимость],Orders[Дата],"&gt;="&amp;'Настройки'!$B$4,Orders[Дата],"&lt;"&amp;('Настройки'!$B$5+1),Orders[SKU],A40))</x:f>
      </x:c>
      <x:c r="G40" s="16" t="str">
        <x:f>IF(A40="","",SUMIFS(Orders[Прибыль],Orders[Дата],"&gt;="&amp;'Настройки'!$B$4,Orders[Дата],"&lt;"&amp;('Настройки'!$B$5+1),Orders[SKU],A40))</x:f>
      </x:c>
      <x:c r="H40" s="16" t="str">
        <x:f>IF(A40="","",MAX(0,-G40))</x:f>
      </x:c>
      <x:c r="I40" s="17" t="str">
        <x:f>IF(A40="","",IF(E40=0,"",G40/E40))</x:f>
      </x:c>
      <x:c r="J40" s="17" t="str">
        <x:f>IF(A40="","",IF(F40=0,"",(E40-F40)/F40))</x:f>
      </x:c>
      <x:c r="K40" s="11" t="str">
        <x:f>IF(A40="","",SUMIFS(Orders[Количество],Orders[Дата],"&gt;="&amp;'Настройки'!$B$4,Orders[Дата],"&lt;"&amp;('Настройки'!$B$5+1),Orders[SKU],A40,Orders[Статус],"Возврат"))</x:f>
      </x:c>
      <x:c r="L40" s="11" t="str">
        <x:f>IF(A40="","",SUMIFS(Orders[Количество],Orders[Дата],"&gt;="&amp;'Настройки'!$B$4,Orders[Дата],"&lt;"&amp;('Настройки'!$B$5+1),Orders[SKU],A40,Orders[Статус],"Отменён"))</x:f>
      </x:c>
      <x:c r="M40" s="16" t="str">
        <x:f>IF(A40="","",IF(D40=0,"",E40/D40))</x:f>
      </x:c>
      <x:c r="N40" s="17" t="str">
        <x:f>IF(A40="","",IF(F40=0,"",G40/F40))</x:f>
      </x:c>
      <x:c r="O40" s="11" t="str">
        <x:f>IF(A40="","",SUMIFS(Stock[Остаток],Stock[SKU],A40))</x:f>
      </x:c>
      <x:c r="P40" s="11" t="str">
        <x:f>IF(OR(A40="",E40=""),"",COUNTIFS(Products[Выручка],"&gt;"&amp;E40)+COUNTIFS($E$5:E40,E40,$A$5:A40,"&lt;&gt;"))</x:f>
      </x:c>
      <x:c r="Q40" s="11" t="str">
        <x:f>IF(OR(A40="",G40=""),"",COUNTIFS(Products[Прибыль],"&gt;"&amp;G40)+COUNTIFS($G$5:G40,G40,$A$5:A40,"&lt;&gt;"))</x:f>
      </x:c>
      <x:c r="R40" s="11" t="str">
        <x:f>IF(OR(A40="",I40=""),"",COUNTIFS(Products[Маржа],"&gt;"&amp;I40)+COUNTIFS($I$5:I40,I40,$A$5:A40,"&lt;&gt;"))</x:f>
      </x:c>
      <x:c r="S40" s="11" t="str">
        <x:f>IF(OR(A40="",J40=""),"",COUNTIFS(Products[Наценка],"&gt;"&amp;J40)+COUNTIFS($J$5:J40,J40,$A$5:A40,"&lt;&gt;"))</x:f>
      </x:c>
      <x:c r="T40" s="11" t="str">
        <x:f>IF(OR(A40="",H40&lt;=0),"",COUNTIFS(Products[Убыток],"&gt;"&amp;H40)+COUNTIFS($H$5:H40,H40,$A$5:A40,"&lt;&gt;"))</x:f>
      </x:c>
      <x:c r="U40" s="11" t="str">
        <x:f>IF(OR(A40="",K40&lt;=0),"",COUNTIFS(Products[Возвраты шт.],"&gt;"&amp;K40)+COUNTIFS($K$5:K40,K40,$A$5:A40,"&lt;&gt;"))</x:f>
      </x:c>
      <x:c r="V40" s="11" t="str">
        <x:f>IF(OR(A40="",L40&lt;=0),"",COUNTIFS(Products[Отмены шт.],"&gt;"&amp;L40)+COUNTIFS($L$5:L40,L40,$A$5:A40,"&lt;&gt;"))</x:f>
      </x:c>
    </x:row>
    <x:row r="41" ht="23" customHeight="1">
      <x:c r="A41" s="51"/>
      <x:c r="B41" s="51"/>
      <x:c r="C41" s="51"/>
      <x:c r="D41" s="11" t="str">
        <x:f>IF(A41="","",SUMIFS(Orders[Продано шт.],Orders[Дата],"&gt;="&amp;'Настройки'!$B$4,Orders[Дата],"&lt;"&amp;('Настройки'!$B$5+1),Orders[SKU],A41))</x:f>
      </x:c>
      <x:c r="E41" s="16" t="str">
        <x:f>IF(A41="","",SUMIFS(Orders[Выручка],Orders[Дата],"&gt;="&amp;'Настройки'!$B$4,Orders[Дата],"&lt;"&amp;('Настройки'!$B$5+1),Orders[SKU],A41))</x:f>
      </x:c>
      <x:c r="F41" s="16" t="str">
        <x:f>IF(A41="","",SUMIFS(Orders[Себестоимость],Orders[Дата],"&gt;="&amp;'Настройки'!$B$4,Orders[Дата],"&lt;"&amp;('Настройки'!$B$5+1),Orders[SKU],A41))</x:f>
      </x:c>
      <x:c r="G41" s="16" t="str">
        <x:f>IF(A41="","",SUMIFS(Orders[Прибыль],Orders[Дата],"&gt;="&amp;'Настройки'!$B$4,Orders[Дата],"&lt;"&amp;('Настройки'!$B$5+1),Orders[SKU],A41))</x:f>
      </x:c>
      <x:c r="H41" s="16" t="str">
        <x:f>IF(A41="","",MAX(0,-G41))</x:f>
      </x:c>
      <x:c r="I41" s="17" t="str">
        <x:f>IF(A41="","",IF(E41=0,"",G41/E41))</x:f>
      </x:c>
      <x:c r="J41" s="17" t="str">
        <x:f>IF(A41="","",IF(F41=0,"",(E41-F41)/F41))</x:f>
      </x:c>
      <x:c r="K41" s="11" t="str">
        <x:f>IF(A41="","",SUMIFS(Orders[Количество],Orders[Дата],"&gt;="&amp;'Настройки'!$B$4,Orders[Дата],"&lt;"&amp;('Настройки'!$B$5+1),Orders[SKU],A41,Orders[Статус],"Возврат"))</x:f>
      </x:c>
      <x:c r="L41" s="11" t="str">
        <x:f>IF(A41="","",SUMIFS(Orders[Количество],Orders[Дата],"&gt;="&amp;'Настройки'!$B$4,Orders[Дата],"&lt;"&amp;('Настройки'!$B$5+1),Orders[SKU],A41,Orders[Статус],"Отменён"))</x:f>
      </x:c>
      <x:c r="M41" s="16" t="str">
        <x:f>IF(A41="","",IF(D41=0,"",E41/D41))</x:f>
      </x:c>
      <x:c r="N41" s="17" t="str">
        <x:f>IF(A41="","",IF(F41=0,"",G41/F41))</x:f>
      </x:c>
      <x:c r="O41" s="11" t="str">
        <x:f>IF(A41="","",SUMIFS(Stock[Остаток],Stock[SKU],A41))</x:f>
      </x:c>
      <x:c r="P41" s="11" t="str">
        <x:f>IF(OR(A41="",E41=""),"",COUNTIFS(Products[Выручка],"&gt;"&amp;E41)+COUNTIFS($E$5:E41,E41,$A$5:A41,"&lt;&gt;"))</x:f>
      </x:c>
      <x:c r="Q41" s="11" t="str">
        <x:f>IF(OR(A41="",G41=""),"",COUNTIFS(Products[Прибыль],"&gt;"&amp;G41)+COUNTIFS($G$5:G41,G41,$A$5:A41,"&lt;&gt;"))</x:f>
      </x:c>
      <x:c r="R41" s="11" t="str">
        <x:f>IF(OR(A41="",I41=""),"",COUNTIFS(Products[Маржа],"&gt;"&amp;I41)+COUNTIFS($I$5:I41,I41,$A$5:A41,"&lt;&gt;"))</x:f>
      </x:c>
      <x:c r="S41" s="11" t="str">
        <x:f>IF(OR(A41="",J41=""),"",COUNTIFS(Products[Наценка],"&gt;"&amp;J41)+COUNTIFS($J$5:J41,J41,$A$5:A41,"&lt;&gt;"))</x:f>
      </x:c>
      <x:c r="T41" s="11" t="str">
        <x:f>IF(OR(A41="",H41&lt;=0),"",COUNTIFS(Products[Убыток],"&gt;"&amp;H41)+COUNTIFS($H$5:H41,H41,$A$5:A41,"&lt;&gt;"))</x:f>
      </x:c>
      <x:c r="U41" s="11" t="str">
        <x:f>IF(OR(A41="",K41&lt;=0),"",COUNTIFS(Products[Возвраты шт.],"&gt;"&amp;K41)+COUNTIFS($K$5:K41,K41,$A$5:A41,"&lt;&gt;"))</x:f>
      </x:c>
      <x:c r="V41" s="11" t="str">
        <x:f>IF(OR(A41="",L41&lt;=0),"",COUNTIFS(Products[Отмены шт.],"&gt;"&amp;L41)+COUNTIFS($L$5:L41,L41,$A$5:A41,"&lt;&gt;"))</x:f>
      </x:c>
    </x:row>
    <x:row r="42" ht="23" customHeight="1">
      <x:c r="A42" s="51"/>
      <x:c r="B42" s="51"/>
      <x:c r="C42" s="51"/>
      <x:c r="D42" s="11" t="str">
        <x:f>IF(A42="","",SUMIFS(Orders[Продано шт.],Orders[Дата],"&gt;="&amp;'Настройки'!$B$4,Orders[Дата],"&lt;"&amp;('Настройки'!$B$5+1),Orders[SKU],A42))</x:f>
      </x:c>
      <x:c r="E42" s="16" t="str">
        <x:f>IF(A42="","",SUMIFS(Orders[Выручка],Orders[Дата],"&gt;="&amp;'Настройки'!$B$4,Orders[Дата],"&lt;"&amp;('Настройки'!$B$5+1),Orders[SKU],A42))</x:f>
      </x:c>
      <x:c r="F42" s="16" t="str">
        <x:f>IF(A42="","",SUMIFS(Orders[Себестоимость],Orders[Дата],"&gt;="&amp;'Настройки'!$B$4,Orders[Дата],"&lt;"&amp;('Настройки'!$B$5+1),Orders[SKU],A42))</x:f>
      </x:c>
      <x:c r="G42" s="16" t="str">
        <x:f>IF(A42="","",SUMIFS(Orders[Прибыль],Orders[Дата],"&gt;="&amp;'Настройки'!$B$4,Orders[Дата],"&lt;"&amp;('Настройки'!$B$5+1),Orders[SKU],A42))</x:f>
      </x:c>
      <x:c r="H42" s="16" t="str">
        <x:f>IF(A42="","",MAX(0,-G42))</x:f>
      </x:c>
      <x:c r="I42" s="17" t="str">
        <x:f>IF(A42="","",IF(E42=0,"",G42/E42))</x:f>
      </x:c>
      <x:c r="J42" s="17" t="str">
        <x:f>IF(A42="","",IF(F42=0,"",(E42-F42)/F42))</x:f>
      </x:c>
      <x:c r="K42" s="11" t="str">
        <x:f>IF(A42="","",SUMIFS(Orders[Количество],Orders[Дата],"&gt;="&amp;'Настройки'!$B$4,Orders[Дата],"&lt;"&amp;('Настройки'!$B$5+1),Orders[SKU],A42,Orders[Статус],"Возврат"))</x:f>
      </x:c>
      <x:c r="L42" s="11" t="str">
        <x:f>IF(A42="","",SUMIFS(Orders[Количество],Orders[Дата],"&gt;="&amp;'Настройки'!$B$4,Orders[Дата],"&lt;"&amp;('Настройки'!$B$5+1),Orders[SKU],A42,Orders[Статус],"Отменён"))</x:f>
      </x:c>
      <x:c r="M42" s="16" t="str">
        <x:f>IF(A42="","",IF(D42=0,"",E42/D42))</x:f>
      </x:c>
      <x:c r="N42" s="17" t="str">
        <x:f>IF(A42="","",IF(F42=0,"",G42/F42))</x:f>
      </x:c>
      <x:c r="O42" s="11" t="str">
        <x:f>IF(A42="","",SUMIFS(Stock[Остаток],Stock[SKU],A42))</x:f>
      </x:c>
      <x:c r="P42" s="11" t="str">
        <x:f>IF(OR(A42="",E42=""),"",COUNTIFS(Products[Выручка],"&gt;"&amp;E42)+COUNTIFS($E$5:E42,E42,$A$5:A42,"&lt;&gt;"))</x:f>
      </x:c>
      <x:c r="Q42" s="11" t="str">
        <x:f>IF(OR(A42="",G42=""),"",COUNTIFS(Products[Прибыль],"&gt;"&amp;G42)+COUNTIFS($G$5:G42,G42,$A$5:A42,"&lt;&gt;"))</x:f>
      </x:c>
      <x:c r="R42" s="11" t="str">
        <x:f>IF(OR(A42="",I42=""),"",COUNTIFS(Products[Маржа],"&gt;"&amp;I42)+COUNTIFS($I$5:I42,I42,$A$5:A42,"&lt;&gt;"))</x:f>
      </x:c>
      <x:c r="S42" s="11" t="str">
        <x:f>IF(OR(A42="",J42=""),"",COUNTIFS(Products[Наценка],"&gt;"&amp;J42)+COUNTIFS($J$5:J42,J42,$A$5:A42,"&lt;&gt;"))</x:f>
      </x:c>
      <x:c r="T42" s="11" t="str">
        <x:f>IF(OR(A42="",H42&lt;=0),"",COUNTIFS(Products[Убыток],"&gt;"&amp;H42)+COUNTIFS($H$5:H42,H42,$A$5:A42,"&lt;&gt;"))</x:f>
      </x:c>
      <x:c r="U42" s="11" t="str">
        <x:f>IF(OR(A42="",K42&lt;=0),"",COUNTIFS(Products[Возвраты шт.],"&gt;"&amp;K42)+COUNTIFS($K$5:K42,K42,$A$5:A42,"&lt;&gt;"))</x:f>
      </x:c>
      <x:c r="V42" s="11" t="str">
        <x:f>IF(OR(A42="",L42&lt;=0),"",COUNTIFS(Products[Отмены шт.],"&gt;"&amp;L42)+COUNTIFS($L$5:L42,L42,$A$5:A42,"&lt;&gt;"))</x:f>
      </x:c>
    </x:row>
    <x:row r="43" ht="23" customHeight="1">
      <x:c r="A43" s="51"/>
      <x:c r="B43" s="51"/>
      <x:c r="C43" s="51"/>
      <x:c r="D43" s="11" t="str">
        <x:f>IF(A43="","",SUMIFS(Orders[Продано шт.],Orders[Дата],"&gt;="&amp;'Настройки'!$B$4,Orders[Дата],"&lt;"&amp;('Настройки'!$B$5+1),Orders[SKU],A43))</x:f>
      </x:c>
      <x:c r="E43" s="16" t="str">
        <x:f>IF(A43="","",SUMIFS(Orders[Выручка],Orders[Дата],"&gt;="&amp;'Настройки'!$B$4,Orders[Дата],"&lt;"&amp;('Настройки'!$B$5+1),Orders[SKU],A43))</x:f>
      </x:c>
      <x:c r="F43" s="16" t="str">
        <x:f>IF(A43="","",SUMIFS(Orders[Себестоимость],Orders[Дата],"&gt;="&amp;'Настройки'!$B$4,Orders[Дата],"&lt;"&amp;('Настройки'!$B$5+1),Orders[SKU],A43))</x:f>
      </x:c>
      <x:c r="G43" s="16" t="str">
        <x:f>IF(A43="","",SUMIFS(Orders[Прибыль],Orders[Дата],"&gt;="&amp;'Настройки'!$B$4,Orders[Дата],"&lt;"&amp;('Настройки'!$B$5+1),Orders[SKU],A43))</x:f>
      </x:c>
      <x:c r="H43" s="16" t="str">
        <x:f>IF(A43="","",MAX(0,-G43))</x:f>
      </x:c>
      <x:c r="I43" s="17" t="str">
        <x:f>IF(A43="","",IF(E43=0,"",G43/E43))</x:f>
      </x:c>
      <x:c r="J43" s="17" t="str">
        <x:f>IF(A43="","",IF(F43=0,"",(E43-F43)/F43))</x:f>
      </x:c>
      <x:c r="K43" s="11" t="str">
        <x:f>IF(A43="","",SUMIFS(Orders[Количество],Orders[Дата],"&gt;="&amp;'Настройки'!$B$4,Orders[Дата],"&lt;"&amp;('Настройки'!$B$5+1),Orders[SKU],A43,Orders[Статус],"Возврат"))</x:f>
      </x:c>
      <x:c r="L43" s="11" t="str">
        <x:f>IF(A43="","",SUMIFS(Orders[Количество],Orders[Дата],"&gt;="&amp;'Настройки'!$B$4,Orders[Дата],"&lt;"&amp;('Настройки'!$B$5+1),Orders[SKU],A43,Orders[Статус],"Отменён"))</x:f>
      </x:c>
      <x:c r="M43" s="16" t="str">
        <x:f>IF(A43="","",IF(D43=0,"",E43/D43))</x:f>
      </x:c>
      <x:c r="N43" s="17" t="str">
        <x:f>IF(A43="","",IF(F43=0,"",G43/F43))</x:f>
      </x:c>
      <x:c r="O43" s="11" t="str">
        <x:f>IF(A43="","",SUMIFS(Stock[Остаток],Stock[SKU],A43))</x:f>
      </x:c>
      <x:c r="P43" s="11" t="str">
        <x:f>IF(OR(A43="",E43=""),"",COUNTIFS(Products[Выручка],"&gt;"&amp;E43)+COUNTIFS($E$5:E43,E43,$A$5:A43,"&lt;&gt;"))</x:f>
      </x:c>
      <x:c r="Q43" s="11" t="str">
        <x:f>IF(OR(A43="",G43=""),"",COUNTIFS(Products[Прибыль],"&gt;"&amp;G43)+COUNTIFS($G$5:G43,G43,$A$5:A43,"&lt;&gt;"))</x:f>
      </x:c>
      <x:c r="R43" s="11" t="str">
        <x:f>IF(OR(A43="",I43=""),"",COUNTIFS(Products[Маржа],"&gt;"&amp;I43)+COUNTIFS($I$5:I43,I43,$A$5:A43,"&lt;&gt;"))</x:f>
      </x:c>
      <x:c r="S43" s="11" t="str">
        <x:f>IF(OR(A43="",J43=""),"",COUNTIFS(Products[Наценка],"&gt;"&amp;J43)+COUNTIFS($J$5:J43,J43,$A$5:A43,"&lt;&gt;"))</x:f>
      </x:c>
      <x:c r="T43" s="11" t="str">
        <x:f>IF(OR(A43="",H43&lt;=0),"",COUNTIFS(Products[Убыток],"&gt;"&amp;H43)+COUNTIFS($H$5:H43,H43,$A$5:A43,"&lt;&gt;"))</x:f>
      </x:c>
      <x:c r="U43" s="11" t="str">
        <x:f>IF(OR(A43="",K43&lt;=0),"",COUNTIFS(Products[Возвраты шт.],"&gt;"&amp;K43)+COUNTIFS($K$5:K43,K43,$A$5:A43,"&lt;&gt;"))</x:f>
      </x:c>
      <x:c r="V43" s="11" t="str">
        <x:f>IF(OR(A43="",L43&lt;=0),"",COUNTIFS(Products[Отмены шт.],"&gt;"&amp;L43)+COUNTIFS($L$5:L43,L43,$A$5:A43,"&lt;&gt;"))</x:f>
      </x:c>
    </x:row>
    <x:row r="44" ht="23" customHeight="1">
      <x:c r="A44" s="51"/>
      <x:c r="B44" s="51"/>
      <x:c r="C44" s="51"/>
      <x:c r="D44" s="11" t="str">
        <x:f>IF(A44="","",SUMIFS(Orders[Продано шт.],Orders[Дата],"&gt;="&amp;'Настройки'!$B$4,Orders[Дата],"&lt;"&amp;('Настройки'!$B$5+1),Orders[SKU],A44))</x:f>
      </x:c>
      <x:c r="E44" s="16" t="str">
        <x:f>IF(A44="","",SUMIFS(Orders[Выручка],Orders[Дата],"&gt;="&amp;'Настройки'!$B$4,Orders[Дата],"&lt;"&amp;('Настройки'!$B$5+1),Orders[SKU],A44))</x:f>
      </x:c>
      <x:c r="F44" s="16" t="str">
        <x:f>IF(A44="","",SUMIFS(Orders[Себестоимость],Orders[Дата],"&gt;="&amp;'Настройки'!$B$4,Orders[Дата],"&lt;"&amp;('Настройки'!$B$5+1),Orders[SKU],A44))</x:f>
      </x:c>
      <x:c r="G44" s="16" t="str">
        <x:f>IF(A44="","",SUMIFS(Orders[Прибыль],Orders[Дата],"&gt;="&amp;'Настройки'!$B$4,Orders[Дата],"&lt;"&amp;('Настройки'!$B$5+1),Orders[SKU],A44))</x:f>
      </x:c>
      <x:c r="H44" s="16" t="str">
        <x:f>IF(A44="","",MAX(0,-G44))</x:f>
      </x:c>
      <x:c r="I44" s="17" t="str">
        <x:f>IF(A44="","",IF(E44=0,"",G44/E44))</x:f>
      </x:c>
      <x:c r="J44" s="17" t="str">
        <x:f>IF(A44="","",IF(F44=0,"",(E44-F44)/F44))</x:f>
      </x:c>
      <x:c r="K44" s="11" t="str">
        <x:f>IF(A44="","",SUMIFS(Orders[Количество],Orders[Дата],"&gt;="&amp;'Настройки'!$B$4,Orders[Дата],"&lt;"&amp;('Настройки'!$B$5+1),Orders[SKU],A44,Orders[Статус],"Возврат"))</x:f>
      </x:c>
      <x:c r="L44" s="11" t="str">
        <x:f>IF(A44="","",SUMIFS(Orders[Количество],Orders[Дата],"&gt;="&amp;'Настройки'!$B$4,Orders[Дата],"&lt;"&amp;('Настройки'!$B$5+1),Orders[SKU],A44,Orders[Статус],"Отменён"))</x:f>
      </x:c>
      <x:c r="M44" s="16" t="str">
        <x:f>IF(A44="","",IF(D44=0,"",E44/D44))</x:f>
      </x:c>
      <x:c r="N44" s="17" t="str">
        <x:f>IF(A44="","",IF(F44=0,"",G44/F44))</x:f>
      </x:c>
      <x:c r="O44" s="11" t="str">
        <x:f>IF(A44="","",SUMIFS(Stock[Остаток],Stock[SKU],A44))</x:f>
      </x:c>
      <x:c r="P44" s="11" t="str">
        <x:f>IF(OR(A44="",E44=""),"",COUNTIFS(Products[Выручка],"&gt;"&amp;E44)+COUNTIFS($E$5:E44,E44,$A$5:A44,"&lt;&gt;"))</x:f>
      </x:c>
      <x:c r="Q44" s="11" t="str">
        <x:f>IF(OR(A44="",G44=""),"",COUNTIFS(Products[Прибыль],"&gt;"&amp;G44)+COUNTIFS($G$5:G44,G44,$A$5:A44,"&lt;&gt;"))</x:f>
      </x:c>
      <x:c r="R44" s="11" t="str">
        <x:f>IF(OR(A44="",I44=""),"",COUNTIFS(Products[Маржа],"&gt;"&amp;I44)+COUNTIFS($I$5:I44,I44,$A$5:A44,"&lt;&gt;"))</x:f>
      </x:c>
      <x:c r="S44" s="11" t="str">
        <x:f>IF(OR(A44="",J44=""),"",COUNTIFS(Products[Наценка],"&gt;"&amp;J44)+COUNTIFS($J$5:J44,J44,$A$5:A44,"&lt;&gt;"))</x:f>
      </x:c>
      <x:c r="T44" s="11" t="str">
        <x:f>IF(OR(A44="",H44&lt;=0),"",COUNTIFS(Products[Убыток],"&gt;"&amp;H44)+COUNTIFS($H$5:H44,H44,$A$5:A44,"&lt;&gt;"))</x:f>
      </x:c>
      <x:c r="U44" s="11" t="str">
        <x:f>IF(OR(A44="",K44&lt;=0),"",COUNTIFS(Products[Возвраты шт.],"&gt;"&amp;K44)+COUNTIFS($K$5:K44,K44,$A$5:A44,"&lt;&gt;"))</x:f>
      </x:c>
      <x:c r="V44" s="11" t="str">
        <x:f>IF(OR(A44="",L44&lt;=0),"",COUNTIFS(Products[Отмены шт.],"&gt;"&amp;L44)+COUNTIFS($L$5:L44,L44,$A$5:A44,"&lt;&gt;"))</x:f>
      </x:c>
    </x:row>
    <x:row r="45" ht="23" customHeight="1">
      <x:c r="A45" s="51"/>
      <x:c r="B45" s="51"/>
      <x:c r="C45" s="51"/>
      <x:c r="D45" s="11" t="str">
        <x:f>IF(A45="","",SUMIFS(Orders[Продано шт.],Orders[Дата],"&gt;="&amp;'Настройки'!$B$4,Orders[Дата],"&lt;"&amp;('Настройки'!$B$5+1),Orders[SKU],A45))</x:f>
      </x:c>
      <x:c r="E45" s="16" t="str">
        <x:f>IF(A45="","",SUMIFS(Orders[Выручка],Orders[Дата],"&gt;="&amp;'Настройки'!$B$4,Orders[Дата],"&lt;"&amp;('Настройки'!$B$5+1),Orders[SKU],A45))</x:f>
      </x:c>
      <x:c r="F45" s="16" t="str">
        <x:f>IF(A45="","",SUMIFS(Orders[Себестоимость],Orders[Дата],"&gt;="&amp;'Настройки'!$B$4,Orders[Дата],"&lt;"&amp;('Настройки'!$B$5+1),Orders[SKU],A45))</x:f>
      </x:c>
      <x:c r="G45" s="16" t="str">
        <x:f>IF(A45="","",SUMIFS(Orders[Прибыль],Orders[Дата],"&gt;="&amp;'Настройки'!$B$4,Orders[Дата],"&lt;"&amp;('Настройки'!$B$5+1),Orders[SKU],A45))</x:f>
      </x:c>
      <x:c r="H45" s="16" t="str">
        <x:f>IF(A45="","",MAX(0,-G45))</x:f>
      </x:c>
      <x:c r="I45" s="17" t="str">
        <x:f>IF(A45="","",IF(E45=0,"",G45/E45))</x:f>
      </x:c>
      <x:c r="J45" s="17" t="str">
        <x:f>IF(A45="","",IF(F45=0,"",(E45-F45)/F45))</x:f>
      </x:c>
      <x:c r="K45" s="11" t="str">
        <x:f>IF(A45="","",SUMIFS(Orders[Количество],Orders[Дата],"&gt;="&amp;'Настройки'!$B$4,Orders[Дата],"&lt;"&amp;('Настройки'!$B$5+1),Orders[SKU],A45,Orders[Статус],"Возврат"))</x:f>
      </x:c>
      <x:c r="L45" s="11" t="str">
        <x:f>IF(A45="","",SUMIFS(Orders[Количество],Orders[Дата],"&gt;="&amp;'Настройки'!$B$4,Orders[Дата],"&lt;"&amp;('Настройки'!$B$5+1),Orders[SKU],A45,Orders[Статус],"Отменён"))</x:f>
      </x:c>
      <x:c r="M45" s="16" t="str">
        <x:f>IF(A45="","",IF(D45=0,"",E45/D45))</x:f>
      </x:c>
      <x:c r="N45" s="17" t="str">
        <x:f>IF(A45="","",IF(F45=0,"",G45/F45))</x:f>
      </x:c>
      <x:c r="O45" s="11" t="str">
        <x:f>IF(A45="","",SUMIFS(Stock[Остаток],Stock[SKU],A45))</x:f>
      </x:c>
      <x:c r="P45" s="11" t="str">
        <x:f>IF(OR(A45="",E45=""),"",COUNTIFS(Products[Выручка],"&gt;"&amp;E45)+COUNTIFS($E$5:E45,E45,$A$5:A45,"&lt;&gt;"))</x:f>
      </x:c>
      <x:c r="Q45" s="11" t="str">
        <x:f>IF(OR(A45="",G45=""),"",COUNTIFS(Products[Прибыль],"&gt;"&amp;G45)+COUNTIFS($G$5:G45,G45,$A$5:A45,"&lt;&gt;"))</x:f>
      </x:c>
      <x:c r="R45" s="11" t="str">
        <x:f>IF(OR(A45="",I45=""),"",COUNTIFS(Products[Маржа],"&gt;"&amp;I45)+COUNTIFS($I$5:I45,I45,$A$5:A45,"&lt;&gt;"))</x:f>
      </x:c>
      <x:c r="S45" s="11" t="str">
        <x:f>IF(OR(A45="",J45=""),"",COUNTIFS(Products[Наценка],"&gt;"&amp;J45)+COUNTIFS($J$5:J45,J45,$A$5:A45,"&lt;&gt;"))</x:f>
      </x:c>
      <x:c r="T45" s="11" t="str">
        <x:f>IF(OR(A45="",H45&lt;=0),"",COUNTIFS(Products[Убыток],"&gt;"&amp;H45)+COUNTIFS($H$5:H45,H45,$A$5:A45,"&lt;&gt;"))</x:f>
      </x:c>
      <x:c r="U45" s="11" t="str">
        <x:f>IF(OR(A45="",K45&lt;=0),"",COUNTIFS(Products[Возвраты шт.],"&gt;"&amp;K45)+COUNTIFS($K$5:K45,K45,$A$5:A45,"&lt;&gt;"))</x:f>
      </x:c>
      <x:c r="V45" s="11" t="str">
        <x:f>IF(OR(A45="",L45&lt;=0),"",COUNTIFS(Products[Отмены шт.],"&gt;"&amp;L45)+COUNTIFS($L$5:L45,L45,$A$5:A45,"&lt;&gt;"))</x:f>
      </x:c>
    </x:row>
    <x:row r="46" ht="23" customHeight="1">
      <x:c r="A46" s="51"/>
      <x:c r="B46" s="51"/>
      <x:c r="C46" s="51"/>
      <x:c r="D46" s="11" t="str">
        <x:f>IF(A46="","",SUMIFS(Orders[Продано шт.],Orders[Дата],"&gt;="&amp;'Настройки'!$B$4,Orders[Дата],"&lt;"&amp;('Настройки'!$B$5+1),Orders[SKU],A46))</x:f>
      </x:c>
      <x:c r="E46" s="16" t="str">
        <x:f>IF(A46="","",SUMIFS(Orders[Выручка],Orders[Дата],"&gt;="&amp;'Настройки'!$B$4,Orders[Дата],"&lt;"&amp;('Настройки'!$B$5+1),Orders[SKU],A46))</x:f>
      </x:c>
      <x:c r="F46" s="16" t="str">
        <x:f>IF(A46="","",SUMIFS(Orders[Себестоимость],Orders[Дата],"&gt;="&amp;'Настройки'!$B$4,Orders[Дата],"&lt;"&amp;('Настройки'!$B$5+1),Orders[SKU],A46))</x:f>
      </x:c>
      <x:c r="G46" s="16" t="str">
        <x:f>IF(A46="","",SUMIFS(Orders[Прибыль],Orders[Дата],"&gt;="&amp;'Настройки'!$B$4,Orders[Дата],"&lt;"&amp;('Настройки'!$B$5+1),Orders[SKU],A46))</x:f>
      </x:c>
      <x:c r="H46" s="16" t="str">
        <x:f>IF(A46="","",MAX(0,-G46))</x:f>
      </x:c>
      <x:c r="I46" s="17" t="str">
        <x:f>IF(A46="","",IF(E46=0,"",G46/E46))</x:f>
      </x:c>
      <x:c r="J46" s="17" t="str">
        <x:f>IF(A46="","",IF(F46=0,"",(E46-F46)/F46))</x:f>
      </x:c>
      <x:c r="K46" s="11" t="str">
        <x:f>IF(A46="","",SUMIFS(Orders[Количество],Orders[Дата],"&gt;="&amp;'Настройки'!$B$4,Orders[Дата],"&lt;"&amp;('Настройки'!$B$5+1),Orders[SKU],A46,Orders[Статус],"Возврат"))</x:f>
      </x:c>
      <x:c r="L46" s="11" t="str">
        <x:f>IF(A46="","",SUMIFS(Orders[Количество],Orders[Дата],"&gt;="&amp;'Настройки'!$B$4,Orders[Дата],"&lt;"&amp;('Настройки'!$B$5+1),Orders[SKU],A46,Orders[Статус],"Отменён"))</x:f>
      </x:c>
      <x:c r="M46" s="16" t="str">
        <x:f>IF(A46="","",IF(D46=0,"",E46/D46))</x:f>
      </x:c>
      <x:c r="N46" s="17" t="str">
        <x:f>IF(A46="","",IF(F46=0,"",G46/F46))</x:f>
      </x:c>
      <x:c r="O46" s="11" t="str">
        <x:f>IF(A46="","",SUMIFS(Stock[Остаток],Stock[SKU],A46))</x:f>
      </x:c>
      <x:c r="P46" s="11" t="str">
        <x:f>IF(OR(A46="",E46=""),"",COUNTIFS(Products[Выручка],"&gt;"&amp;E46)+COUNTIFS($E$5:E46,E46,$A$5:A46,"&lt;&gt;"))</x:f>
      </x:c>
      <x:c r="Q46" s="11" t="str">
        <x:f>IF(OR(A46="",G46=""),"",COUNTIFS(Products[Прибыль],"&gt;"&amp;G46)+COUNTIFS($G$5:G46,G46,$A$5:A46,"&lt;&gt;"))</x:f>
      </x:c>
      <x:c r="R46" s="11" t="str">
        <x:f>IF(OR(A46="",I46=""),"",COUNTIFS(Products[Маржа],"&gt;"&amp;I46)+COUNTIFS($I$5:I46,I46,$A$5:A46,"&lt;&gt;"))</x:f>
      </x:c>
      <x:c r="S46" s="11" t="str">
        <x:f>IF(OR(A46="",J46=""),"",COUNTIFS(Products[Наценка],"&gt;"&amp;J46)+COUNTIFS($J$5:J46,J46,$A$5:A46,"&lt;&gt;"))</x:f>
      </x:c>
      <x:c r="T46" s="11" t="str">
        <x:f>IF(OR(A46="",H46&lt;=0),"",COUNTIFS(Products[Убыток],"&gt;"&amp;H46)+COUNTIFS($H$5:H46,H46,$A$5:A46,"&lt;&gt;"))</x:f>
      </x:c>
      <x:c r="U46" s="11" t="str">
        <x:f>IF(OR(A46="",K46&lt;=0),"",COUNTIFS(Products[Возвраты шт.],"&gt;"&amp;K46)+COUNTIFS($K$5:K46,K46,$A$5:A46,"&lt;&gt;"))</x:f>
      </x:c>
      <x:c r="V46" s="11" t="str">
        <x:f>IF(OR(A46="",L46&lt;=0),"",COUNTIFS(Products[Отмены шт.],"&gt;"&amp;L46)+COUNTIFS($L$5:L46,L46,$A$5:A46,"&lt;&gt;"))</x:f>
      </x:c>
    </x:row>
    <x:row r="47" ht="23" customHeight="1">
      <x:c r="A47" s="51"/>
      <x:c r="B47" s="51"/>
      <x:c r="C47" s="51"/>
      <x:c r="D47" s="11" t="str">
        <x:f>IF(A47="","",SUMIFS(Orders[Продано шт.],Orders[Дата],"&gt;="&amp;'Настройки'!$B$4,Orders[Дата],"&lt;"&amp;('Настройки'!$B$5+1),Orders[SKU],A47))</x:f>
      </x:c>
      <x:c r="E47" s="16" t="str">
        <x:f>IF(A47="","",SUMIFS(Orders[Выручка],Orders[Дата],"&gt;="&amp;'Настройки'!$B$4,Orders[Дата],"&lt;"&amp;('Настройки'!$B$5+1),Orders[SKU],A47))</x:f>
      </x:c>
      <x:c r="F47" s="16" t="str">
        <x:f>IF(A47="","",SUMIFS(Orders[Себестоимость],Orders[Дата],"&gt;="&amp;'Настройки'!$B$4,Orders[Дата],"&lt;"&amp;('Настройки'!$B$5+1),Orders[SKU],A47))</x:f>
      </x:c>
      <x:c r="G47" s="16" t="str">
        <x:f>IF(A47="","",SUMIFS(Orders[Прибыль],Orders[Дата],"&gt;="&amp;'Настройки'!$B$4,Orders[Дата],"&lt;"&amp;('Настройки'!$B$5+1),Orders[SKU],A47))</x:f>
      </x:c>
      <x:c r="H47" s="16" t="str">
        <x:f>IF(A47="","",MAX(0,-G47))</x:f>
      </x:c>
      <x:c r="I47" s="17" t="str">
        <x:f>IF(A47="","",IF(E47=0,"",G47/E47))</x:f>
      </x:c>
      <x:c r="J47" s="17" t="str">
        <x:f>IF(A47="","",IF(F47=0,"",(E47-F47)/F47))</x:f>
      </x:c>
      <x:c r="K47" s="11" t="str">
        <x:f>IF(A47="","",SUMIFS(Orders[Количество],Orders[Дата],"&gt;="&amp;'Настройки'!$B$4,Orders[Дата],"&lt;"&amp;('Настройки'!$B$5+1),Orders[SKU],A47,Orders[Статус],"Возврат"))</x:f>
      </x:c>
      <x:c r="L47" s="11" t="str">
        <x:f>IF(A47="","",SUMIFS(Orders[Количество],Orders[Дата],"&gt;="&amp;'Настройки'!$B$4,Orders[Дата],"&lt;"&amp;('Настройки'!$B$5+1),Orders[SKU],A47,Orders[Статус],"Отменён"))</x:f>
      </x:c>
      <x:c r="M47" s="16" t="str">
        <x:f>IF(A47="","",IF(D47=0,"",E47/D47))</x:f>
      </x:c>
      <x:c r="N47" s="17" t="str">
        <x:f>IF(A47="","",IF(F47=0,"",G47/F47))</x:f>
      </x:c>
      <x:c r="O47" s="11" t="str">
        <x:f>IF(A47="","",SUMIFS(Stock[Остаток],Stock[SKU],A47))</x:f>
      </x:c>
      <x:c r="P47" s="11" t="str">
        <x:f>IF(OR(A47="",E47=""),"",COUNTIFS(Products[Выручка],"&gt;"&amp;E47)+COUNTIFS($E$5:E47,E47,$A$5:A47,"&lt;&gt;"))</x:f>
      </x:c>
      <x:c r="Q47" s="11" t="str">
        <x:f>IF(OR(A47="",G47=""),"",COUNTIFS(Products[Прибыль],"&gt;"&amp;G47)+COUNTIFS($G$5:G47,G47,$A$5:A47,"&lt;&gt;"))</x:f>
      </x:c>
      <x:c r="R47" s="11" t="str">
        <x:f>IF(OR(A47="",I47=""),"",COUNTIFS(Products[Маржа],"&gt;"&amp;I47)+COUNTIFS($I$5:I47,I47,$A$5:A47,"&lt;&gt;"))</x:f>
      </x:c>
      <x:c r="S47" s="11" t="str">
        <x:f>IF(OR(A47="",J47=""),"",COUNTIFS(Products[Наценка],"&gt;"&amp;J47)+COUNTIFS($J$5:J47,J47,$A$5:A47,"&lt;&gt;"))</x:f>
      </x:c>
      <x:c r="T47" s="11" t="str">
        <x:f>IF(OR(A47="",H47&lt;=0),"",COUNTIFS(Products[Убыток],"&gt;"&amp;H47)+COUNTIFS($H$5:H47,H47,$A$5:A47,"&lt;&gt;"))</x:f>
      </x:c>
      <x:c r="U47" s="11" t="str">
        <x:f>IF(OR(A47="",K47&lt;=0),"",COUNTIFS(Products[Возвраты шт.],"&gt;"&amp;K47)+COUNTIFS($K$5:K47,K47,$A$5:A47,"&lt;&gt;"))</x:f>
      </x:c>
      <x:c r="V47" s="11" t="str">
        <x:f>IF(OR(A47="",L47&lt;=0),"",COUNTIFS(Products[Отмены шт.],"&gt;"&amp;L47)+COUNTIFS($L$5:L47,L47,$A$5:A47,"&lt;&gt;"))</x:f>
      </x:c>
    </x:row>
    <x:row r="48" ht="23" customHeight="1">
      <x:c r="A48" s="51"/>
      <x:c r="B48" s="51"/>
      <x:c r="C48" s="51"/>
      <x:c r="D48" s="11" t="str">
        <x:f>IF(A48="","",SUMIFS(Orders[Продано шт.],Orders[Дата],"&gt;="&amp;'Настройки'!$B$4,Orders[Дата],"&lt;"&amp;('Настройки'!$B$5+1),Orders[SKU],A48))</x:f>
      </x:c>
      <x:c r="E48" s="16" t="str">
        <x:f>IF(A48="","",SUMIFS(Orders[Выручка],Orders[Дата],"&gt;="&amp;'Настройки'!$B$4,Orders[Дата],"&lt;"&amp;('Настройки'!$B$5+1),Orders[SKU],A48))</x:f>
      </x:c>
      <x:c r="F48" s="16" t="str">
        <x:f>IF(A48="","",SUMIFS(Orders[Себестоимость],Orders[Дата],"&gt;="&amp;'Настройки'!$B$4,Orders[Дата],"&lt;"&amp;('Настройки'!$B$5+1),Orders[SKU],A48))</x:f>
      </x:c>
      <x:c r="G48" s="16" t="str">
        <x:f>IF(A48="","",SUMIFS(Orders[Прибыль],Orders[Дата],"&gt;="&amp;'Настройки'!$B$4,Orders[Дата],"&lt;"&amp;('Настройки'!$B$5+1),Orders[SKU],A48))</x:f>
      </x:c>
      <x:c r="H48" s="16" t="str">
        <x:f>IF(A48="","",MAX(0,-G48))</x:f>
      </x:c>
      <x:c r="I48" s="17" t="str">
        <x:f>IF(A48="","",IF(E48=0,"",G48/E48))</x:f>
      </x:c>
      <x:c r="J48" s="17" t="str">
        <x:f>IF(A48="","",IF(F48=0,"",(E48-F48)/F48))</x:f>
      </x:c>
      <x:c r="K48" s="11" t="str">
        <x:f>IF(A48="","",SUMIFS(Orders[Количество],Orders[Дата],"&gt;="&amp;'Настройки'!$B$4,Orders[Дата],"&lt;"&amp;('Настройки'!$B$5+1),Orders[SKU],A48,Orders[Статус],"Возврат"))</x:f>
      </x:c>
      <x:c r="L48" s="11" t="str">
        <x:f>IF(A48="","",SUMIFS(Orders[Количество],Orders[Дата],"&gt;="&amp;'Настройки'!$B$4,Orders[Дата],"&lt;"&amp;('Настройки'!$B$5+1),Orders[SKU],A48,Orders[Статус],"Отменён"))</x:f>
      </x:c>
      <x:c r="M48" s="16" t="str">
        <x:f>IF(A48="","",IF(D48=0,"",E48/D48))</x:f>
      </x:c>
      <x:c r="N48" s="17" t="str">
        <x:f>IF(A48="","",IF(F48=0,"",G48/F48))</x:f>
      </x:c>
      <x:c r="O48" s="11" t="str">
        <x:f>IF(A48="","",SUMIFS(Stock[Остаток],Stock[SKU],A48))</x:f>
      </x:c>
      <x:c r="P48" s="11" t="str">
        <x:f>IF(OR(A48="",E48=""),"",COUNTIFS(Products[Выручка],"&gt;"&amp;E48)+COUNTIFS($E$5:E48,E48,$A$5:A48,"&lt;&gt;"))</x:f>
      </x:c>
      <x:c r="Q48" s="11" t="str">
        <x:f>IF(OR(A48="",G48=""),"",COUNTIFS(Products[Прибыль],"&gt;"&amp;G48)+COUNTIFS($G$5:G48,G48,$A$5:A48,"&lt;&gt;"))</x:f>
      </x:c>
      <x:c r="R48" s="11" t="str">
        <x:f>IF(OR(A48="",I48=""),"",COUNTIFS(Products[Маржа],"&gt;"&amp;I48)+COUNTIFS($I$5:I48,I48,$A$5:A48,"&lt;&gt;"))</x:f>
      </x:c>
      <x:c r="S48" s="11" t="str">
        <x:f>IF(OR(A48="",J48=""),"",COUNTIFS(Products[Наценка],"&gt;"&amp;J48)+COUNTIFS($J$5:J48,J48,$A$5:A48,"&lt;&gt;"))</x:f>
      </x:c>
      <x:c r="T48" s="11" t="str">
        <x:f>IF(OR(A48="",H48&lt;=0),"",COUNTIFS(Products[Убыток],"&gt;"&amp;H48)+COUNTIFS($H$5:H48,H48,$A$5:A48,"&lt;&gt;"))</x:f>
      </x:c>
      <x:c r="U48" s="11" t="str">
        <x:f>IF(OR(A48="",K48&lt;=0),"",COUNTIFS(Products[Возвраты шт.],"&gt;"&amp;K48)+COUNTIFS($K$5:K48,K48,$A$5:A48,"&lt;&gt;"))</x:f>
      </x:c>
      <x:c r="V48" s="11" t="str">
        <x:f>IF(OR(A48="",L48&lt;=0),"",COUNTIFS(Products[Отмены шт.],"&gt;"&amp;L48)+COUNTIFS($L$5:L48,L48,$A$5:A48,"&lt;&gt;"))</x:f>
      </x:c>
    </x:row>
    <x:row r="49" ht="23" customHeight="1">
      <x:c r="A49" s="51"/>
      <x:c r="B49" s="51"/>
      <x:c r="C49" s="51"/>
      <x:c r="D49" s="11" t="str">
        <x:f>IF(A49="","",SUMIFS(Orders[Продано шт.],Orders[Дата],"&gt;="&amp;'Настройки'!$B$4,Orders[Дата],"&lt;"&amp;('Настройки'!$B$5+1),Orders[SKU],A49))</x:f>
      </x:c>
      <x:c r="E49" s="16" t="str">
        <x:f>IF(A49="","",SUMIFS(Orders[Выручка],Orders[Дата],"&gt;="&amp;'Настройки'!$B$4,Orders[Дата],"&lt;"&amp;('Настройки'!$B$5+1),Orders[SKU],A49))</x:f>
      </x:c>
      <x:c r="F49" s="16" t="str">
        <x:f>IF(A49="","",SUMIFS(Orders[Себестоимость],Orders[Дата],"&gt;="&amp;'Настройки'!$B$4,Orders[Дата],"&lt;"&amp;('Настройки'!$B$5+1),Orders[SKU],A49))</x:f>
      </x:c>
      <x:c r="G49" s="16" t="str">
        <x:f>IF(A49="","",SUMIFS(Orders[Прибыль],Orders[Дата],"&gt;="&amp;'Настройки'!$B$4,Orders[Дата],"&lt;"&amp;('Настройки'!$B$5+1),Orders[SKU],A49))</x:f>
      </x:c>
      <x:c r="H49" s="16" t="str">
        <x:f>IF(A49="","",MAX(0,-G49))</x:f>
      </x:c>
      <x:c r="I49" s="17" t="str">
        <x:f>IF(A49="","",IF(E49=0,"",G49/E49))</x:f>
      </x:c>
      <x:c r="J49" s="17" t="str">
        <x:f>IF(A49="","",IF(F49=0,"",(E49-F49)/F49))</x:f>
      </x:c>
      <x:c r="K49" s="11" t="str">
        <x:f>IF(A49="","",SUMIFS(Orders[Количество],Orders[Дата],"&gt;="&amp;'Настройки'!$B$4,Orders[Дата],"&lt;"&amp;('Настройки'!$B$5+1),Orders[SKU],A49,Orders[Статус],"Возврат"))</x:f>
      </x:c>
      <x:c r="L49" s="11" t="str">
        <x:f>IF(A49="","",SUMIFS(Orders[Количество],Orders[Дата],"&gt;="&amp;'Настройки'!$B$4,Orders[Дата],"&lt;"&amp;('Настройки'!$B$5+1),Orders[SKU],A49,Orders[Статус],"Отменён"))</x:f>
      </x:c>
      <x:c r="M49" s="16" t="str">
        <x:f>IF(A49="","",IF(D49=0,"",E49/D49))</x:f>
      </x:c>
      <x:c r="N49" s="17" t="str">
        <x:f>IF(A49="","",IF(F49=0,"",G49/F49))</x:f>
      </x:c>
      <x:c r="O49" s="11" t="str">
        <x:f>IF(A49="","",SUMIFS(Stock[Остаток],Stock[SKU],A49))</x:f>
      </x:c>
      <x:c r="P49" s="11" t="str">
        <x:f>IF(OR(A49="",E49=""),"",COUNTIFS(Products[Выручка],"&gt;"&amp;E49)+COUNTIFS($E$5:E49,E49,$A$5:A49,"&lt;&gt;"))</x:f>
      </x:c>
      <x:c r="Q49" s="11" t="str">
        <x:f>IF(OR(A49="",G49=""),"",COUNTIFS(Products[Прибыль],"&gt;"&amp;G49)+COUNTIFS($G$5:G49,G49,$A$5:A49,"&lt;&gt;"))</x:f>
      </x:c>
      <x:c r="R49" s="11" t="str">
        <x:f>IF(OR(A49="",I49=""),"",COUNTIFS(Products[Маржа],"&gt;"&amp;I49)+COUNTIFS($I$5:I49,I49,$A$5:A49,"&lt;&gt;"))</x:f>
      </x:c>
      <x:c r="S49" s="11" t="str">
        <x:f>IF(OR(A49="",J49=""),"",COUNTIFS(Products[Наценка],"&gt;"&amp;J49)+COUNTIFS($J$5:J49,J49,$A$5:A49,"&lt;&gt;"))</x:f>
      </x:c>
      <x:c r="T49" s="11" t="str">
        <x:f>IF(OR(A49="",H49&lt;=0),"",COUNTIFS(Products[Убыток],"&gt;"&amp;H49)+COUNTIFS($H$5:H49,H49,$A$5:A49,"&lt;&gt;"))</x:f>
      </x:c>
      <x:c r="U49" s="11" t="str">
        <x:f>IF(OR(A49="",K49&lt;=0),"",COUNTIFS(Products[Возвраты шт.],"&gt;"&amp;K49)+COUNTIFS($K$5:K49,K49,$A$5:A49,"&lt;&gt;"))</x:f>
      </x:c>
      <x:c r="V49" s="11" t="str">
        <x:f>IF(OR(A49="",L49&lt;=0),"",COUNTIFS(Products[Отмены шт.],"&gt;"&amp;L49)+COUNTIFS($L$5:L49,L49,$A$5:A49,"&lt;&gt;"))</x:f>
      </x:c>
    </x:row>
    <x:row r="50" ht="23" customHeight="1">
      <x:c r="A50" s="51"/>
      <x:c r="B50" s="51"/>
      <x:c r="C50" s="51"/>
      <x:c r="D50" s="11" t="str">
        <x:f>IF(A50="","",SUMIFS(Orders[Продано шт.],Orders[Дата],"&gt;="&amp;'Настройки'!$B$4,Orders[Дата],"&lt;"&amp;('Настройки'!$B$5+1),Orders[SKU],A50))</x:f>
      </x:c>
      <x:c r="E50" s="16" t="str">
        <x:f>IF(A50="","",SUMIFS(Orders[Выручка],Orders[Дата],"&gt;="&amp;'Настройки'!$B$4,Orders[Дата],"&lt;"&amp;('Настройки'!$B$5+1),Orders[SKU],A50))</x:f>
      </x:c>
      <x:c r="F50" s="16" t="str">
        <x:f>IF(A50="","",SUMIFS(Orders[Себестоимость],Orders[Дата],"&gt;="&amp;'Настройки'!$B$4,Orders[Дата],"&lt;"&amp;('Настройки'!$B$5+1),Orders[SKU],A50))</x:f>
      </x:c>
      <x:c r="G50" s="16" t="str">
        <x:f>IF(A50="","",SUMIFS(Orders[Прибыль],Orders[Дата],"&gt;="&amp;'Настройки'!$B$4,Orders[Дата],"&lt;"&amp;('Настройки'!$B$5+1),Orders[SKU],A50))</x:f>
      </x:c>
      <x:c r="H50" s="16" t="str">
        <x:f>IF(A50="","",MAX(0,-G50))</x:f>
      </x:c>
      <x:c r="I50" s="17" t="str">
        <x:f>IF(A50="","",IF(E50=0,"",G50/E50))</x:f>
      </x:c>
      <x:c r="J50" s="17" t="str">
        <x:f>IF(A50="","",IF(F50=0,"",(E50-F50)/F50))</x:f>
      </x:c>
      <x:c r="K50" s="11" t="str">
        <x:f>IF(A50="","",SUMIFS(Orders[Количество],Orders[Дата],"&gt;="&amp;'Настройки'!$B$4,Orders[Дата],"&lt;"&amp;('Настройки'!$B$5+1),Orders[SKU],A50,Orders[Статус],"Возврат"))</x:f>
      </x:c>
      <x:c r="L50" s="11" t="str">
        <x:f>IF(A50="","",SUMIFS(Orders[Количество],Orders[Дата],"&gt;="&amp;'Настройки'!$B$4,Orders[Дата],"&lt;"&amp;('Настройки'!$B$5+1),Orders[SKU],A50,Orders[Статус],"Отменён"))</x:f>
      </x:c>
      <x:c r="M50" s="16" t="str">
        <x:f>IF(A50="","",IF(D50=0,"",E50/D50))</x:f>
      </x:c>
      <x:c r="N50" s="17" t="str">
        <x:f>IF(A50="","",IF(F50=0,"",G50/F50))</x:f>
      </x:c>
      <x:c r="O50" s="11" t="str">
        <x:f>IF(A50="","",SUMIFS(Stock[Остаток],Stock[SKU],A50))</x:f>
      </x:c>
      <x:c r="P50" s="11" t="str">
        <x:f>IF(OR(A50="",E50=""),"",COUNTIFS(Products[Выручка],"&gt;"&amp;E50)+COUNTIFS($E$5:E50,E50,$A$5:A50,"&lt;&gt;"))</x:f>
      </x:c>
      <x:c r="Q50" s="11" t="str">
        <x:f>IF(OR(A50="",G50=""),"",COUNTIFS(Products[Прибыль],"&gt;"&amp;G50)+COUNTIFS($G$5:G50,G50,$A$5:A50,"&lt;&gt;"))</x:f>
      </x:c>
      <x:c r="R50" s="11" t="str">
        <x:f>IF(OR(A50="",I50=""),"",COUNTIFS(Products[Маржа],"&gt;"&amp;I50)+COUNTIFS($I$5:I50,I50,$A$5:A50,"&lt;&gt;"))</x:f>
      </x:c>
      <x:c r="S50" s="11" t="str">
        <x:f>IF(OR(A50="",J50=""),"",COUNTIFS(Products[Наценка],"&gt;"&amp;J50)+COUNTIFS($J$5:J50,J50,$A$5:A50,"&lt;&gt;"))</x:f>
      </x:c>
      <x:c r="T50" s="11" t="str">
        <x:f>IF(OR(A50="",H50&lt;=0),"",COUNTIFS(Products[Убыток],"&gt;"&amp;H50)+COUNTIFS($H$5:H50,H50,$A$5:A50,"&lt;&gt;"))</x:f>
      </x:c>
      <x:c r="U50" s="11" t="str">
        <x:f>IF(OR(A50="",K50&lt;=0),"",COUNTIFS(Products[Возвраты шт.],"&gt;"&amp;K50)+COUNTIFS($K$5:K50,K50,$A$5:A50,"&lt;&gt;"))</x:f>
      </x:c>
      <x:c r="V50" s="11" t="str">
        <x:f>IF(OR(A50="",L50&lt;=0),"",COUNTIFS(Products[Отмены шт.],"&gt;"&amp;L50)+COUNTIFS($L$5:L50,L50,$A$5:A50,"&lt;&gt;"))</x:f>
      </x:c>
    </x:row>
    <x:row r="51" ht="23" customHeight="1">
      <x:c r="A51" s="51"/>
      <x:c r="B51" s="51"/>
      <x:c r="C51" s="51"/>
      <x:c r="D51" s="11" t="str">
        <x:f>IF(A51="","",SUMIFS(Orders[Продано шт.],Orders[Дата],"&gt;="&amp;'Настройки'!$B$4,Orders[Дата],"&lt;"&amp;('Настройки'!$B$5+1),Orders[SKU],A51))</x:f>
      </x:c>
      <x:c r="E51" s="16" t="str">
        <x:f>IF(A51="","",SUMIFS(Orders[Выручка],Orders[Дата],"&gt;="&amp;'Настройки'!$B$4,Orders[Дата],"&lt;"&amp;('Настройки'!$B$5+1),Orders[SKU],A51))</x:f>
      </x:c>
      <x:c r="F51" s="16" t="str">
        <x:f>IF(A51="","",SUMIFS(Orders[Себестоимость],Orders[Дата],"&gt;="&amp;'Настройки'!$B$4,Orders[Дата],"&lt;"&amp;('Настройки'!$B$5+1),Orders[SKU],A51))</x:f>
      </x:c>
      <x:c r="G51" s="16" t="str">
        <x:f>IF(A51="","",SUMIFS(Orders[Прибыль],Orders[Дата],"&gt;="&amp;'Настройки'!$B$4,Orders[Дата],"&lt;"&amp;('Настройки'!$B$5+1),Orders[SKU],A51))</x:f>
      </x:c>
      <x:c r="H51" s="16" t="str">
        <x:f>IF(A51="","",MAX(0,-G51))</x:f>
      </x:c>
      <x:c r="I51" s="17" t="str">
        <x:f>IF(A51="","",IF(E51=0,"",G51/E51))</x:f>
      </x:c>
      <x:c r="J51" s="17" t="str">
        <x:f>IF(A51="","",IF(F51=0,"",(E51-F51)/F51))</x:f>
      </x:c>
      <x:c r="K51" s="11" t="str">
        <x:f>IF(A51="","",SUMIFS(Orders[Количество],Orders[Дата],"&gt;="&amp;'Настройки'!$B$4,Orders[Дата],"&lt;"&amp;('Настройки'!$B$5+1),Orders[SKU],A51,Orders[Статус],"Возврат"))</x:f>
      </x:c>
      <x:c r="L51" s="11" t="str">
        <x:f>IF(A51="","",SUMIFS(Orders[Количество],Orders[Дата],"&gt;="&amp;'Настройки'!$B$4,Orders[Дата],"&lt;"&amp;('Настройки'!$B$5+1),Orders[SKU],A51,Orders[Статус],"Отменён"))</x:f>
      </x:c>
      <x:c r="M51" s="16" t="str">
        <x:f>IF(A51="","",IF(D51=0,"",E51/D51))</x:f>
      </x:c>
      <x:c r="N51" s="17" t="str">
        <x:f>IF(A51="","",IF(F51=0,"",G51/F51))</x:f>
      </x:c>
      <x:c r="O51" s="11" t="str">
        <x:f>IF(A51="","",SUMIFS(Stock[Остаток],Stock[SKU],A51))</x:f>
      </x:c>
      <x:c r="P51" s="11" t="str">
        <x:f>IF(OR(A51="",E51=""),"",COUNTIFS(Products[Выручка],"&gt;"&amp;E51)+COUNTIFS($E$5:E51,E51,$A$5:A51,"&lt;&gt;"))</x:f>
      </x:c>
      <x:c r="Q51" s="11" t="str">
        <x:f>IF(OR(A51="",G51=""),"",COUNTIFS(Products[Прибыль],"&gt;"&amp;G51)+COUNTIFS($G$5:G51,G51,$A$5:A51,"&lt;&gt;"))</x:f>
      </x:c>
      <x:c r="R51" s="11" t="str">
        <x:f>IF(OR(A51="",I51=""),"",COUNTIFS(Products[Маржа],"&gt;"&amp;I51)+COUNTIFS($I$5:I51,I51,$A$5:A51,"&lt;&gt;"))</x:f>
      </x:c>
      <x:c r="S51" s="11" t="str">
        <x:f>IF(OR(A51="",J51=""),"",COUNTIFS(Products[Наценка],"&gt;"&amp;J51)+COUNTIFS($J$5:J51,J51,$A$5:A51,"&lt;&gt;"))</x:f>
      </x:c>
      <x:c r="T51" s="11" t="str">
        <x:f>IF(OR(A51="",H51&lt;=0),"",COUNTIFS(Products[Убыток],"&gt;"&amp;H51)+COUNTIFS($H$5:H51,H51,$A$5:A51,"&lt;&gt;"))</x:f>
      </x:c>
      <x:c r="U51" s="11" t="str">
        <x:f>IF(OR(A51="",K51&lt;=0),"",COUNTIFS(Products[Возвраты шт.],"&gt;"&amp;K51)+COUNTIFS($K$5:K51,K51,$A$5:A51,"&lt;&gt;"))</x:f>
      </x:c>
      <x:c r="V51" s="11" t="str">
        <x:f>IF(OR(A51="",L51&lt;=0),"",COUNTIFS(Products[Отмены шт.],"&gt;"&amp;L51)+COUNTIFS($L$5:L51,L51,$A$5:A51,"&lt;&gt;"))</x:f>
      </x:c>
    </x:row>
    <x:row r="52" ht="23" customHeight="1">
      <x:c r="A52" s="51"/>
      <x:c r="B52" s="51"/>
      <x:c r="C52" s="51"/>
      <x:c r="D52" s="11" t="str">
        <x:f>IF(A52="","",SUMIFS(Orders[Продано шт.],Orders[Дата],"&gt;="&amp;'Настройки'!$B$4,Orders[Дата],"&lt;"&amp;('Настройки'!$B$5+1),Orders[SKU],A52))</x:f>
      </x:c>
      <x:c r="E52" s="16" t="str">
        <x:f>IF(A52="","",SUMIFS(Orders[Выручка],Orders[Дата],"&gt;="&amp;'Настройки'!$B$4,Orders[Дата],"&lt;"&amp;('Настройки'!$B$5+1),Orders[SKU],A52))</x:f>
      </x:c>
      <x:c r="F52" s="16" t="str">
        <x:f>IF(A52="","",SUMIFS(Orders[Себестоимость],Orders[Дата],"&gt;="&amp;'Настройки'!$B$4,Orders[Дата],"&lt;"&amp;('Настройки'!$B$5+1),Orders[SKU],A52))</x:f>
      </x:c>
      <x:c r="G52" s="16" t="str">
        <x:f>IF(A52="","",SUMIFS(Orders[Прибыль],Orders[Дата],"&gt;="&amp;'Настройки'!$B$4,Orders[Дата],"&lt;"&amp;('Настройки'!$B$5+1),Orders[SKU],A52))</x:f>
      </x:c>
      <x:c r="H52" s="16" t="str">
        <x:f>IF(A52="","",MAX(0,-G52))</x:f>
      </x:c>
      <x:c r="I52" s="17" t="str">
        <x:f>IF(A52="","",IF(E52=0,"",G52/E52))</x:f>
      </x:c>
      <x:c r="J52" s="17" t="str">
        <x:f>IF(A52="","",IF(F52=0,"",(E52-F52)/F52))</x:f>
      </x:c>
      <x:c r="K52" s="11" t="str">
        <x:f>IF(A52="","",SUMIFS(Orders[Количество],Orders[Дата],"&gt;="&amp;'Настройки'!$B$4,Orders[Дата],"&lt;"&amp;('Настройки'!$B$5+1),Orders[SKU],A52,Orders[Статус],"Возврат"))</x:f>
      </x:c>
      <x:c r="L52" s="11" t="str">
        <x:f>IF(A52="","",SUMIFS(Orders[Количество],Orders[Дата],"&gt;="&amp;'Настройки'!$B$4,Orders[Дата],"&lt;"&amp;('Настройки'!$B$5+1),Orders[SKU],A52,Orders[Статус],"Отменён"))</x:f>
      </x:c>
      <x:c r="M52" s="16" t="str">
        <x:f>IF(A52="","",IF(D52=0,"",E52/D52))</x:f>
      </x:c>
      <x:c r="N52" s="17" t="str">
        <x:f>IF(A52="","",IF(F52=0,"",G52/F52))</x:f>
      </x:c>
      <x:c r="O52" s="11" t="str">
        <x:f>IF(A52="","",SUMIFS(Stock[Остаток],Stock[SKU],A52))</x:f>
      </x:c>
      <x:c r="P52" s="11" t="str">
        <x:f>IF(OR(A52="",E52=""),"",COUNTIFS(Products[Выручка],"&gt;"&amp;E52)+COUNTIFS($E$5:E52,E52,$A$5:A52,"&lt;&gt;"))</x:f>
      </x:c>
      <x:c r="Q52" s="11" t="str">
        <x:f>IF(OR(A52="",G52=""),"",COUNTIFS(Products[Прибыль],"&gt;"&amp;G52)+COUNTIFS($G$5:G52,G52,$A$5:A52,"&lt;&gt;"))</x:f>
      </x:c>
      <x:c r="R52" s="11" t="str">
        <x:f>IF(OR(A52="",I52=""),"",COUNTIFS(Products[Маржа],"&gt;"&amp;I52)+COUNTIFS($I$5:I52,I52,$A$5:A52,"&lt;&gt;"))</x:f>
      </x:c>
      <x:c r="S52" s="11" t="str">
        <x:f>IF(OR(A52="",J52=""),"",COUNTIFS(Products[Наценка],"&gt;"&amp;J52)+COUNTIFS($J$5:J52,J52,$A$5:A52,"&lt;&gt;"))</x:f>
      </x:c>
      <x:c r="T52" s="11" t="str">
        <x:f>IF(OR(A52="",H52&lt;=0),"",COUNTIFS(Products[Убыток],"&gt;"&amp;H52)+COUNTIFS($H$5:H52,H52,$A$5:A52,"&lt;&gt;"))</x:f>
      </x:c>
      <x:c r="U52" s="11" t="str">
        <x:f>IF(OR(A52="",K52&lt;=0),"",COUNTIFS(Products[Возвраты шт.],"&gt;"&amp;K52)+COUNTIFS($K$5:K52,K52,$A$5:A52,"&lt;&gt;"))</x:f>
      </x:c>
      <x:c r="V52" s="11" t="str">
        <x:f>IF(OR(A52="",L52&lt;=0),"",COUNTIFS(Products[Отмены шт.],"&gt;"&amp;L52)+COUNTIFS($L$5:L52,L52,$A$5:A52,"&lt;&gt;"))</x:f>
      </x:c>
    </x:row>
    <x:row r="53" ht="23" customHeight="1">
      <x:c r="A53" s="51"/>
      <x:c r="B53" s="51"/>
      <x:c r="C53" s="51"/>
      <x:c r="D53" s="11" t="str">
        <x:f>IF(A53="","",SUMIFS(Orders[Продано шт.],Orders[Дата],"&gt;="&amp;'Настройки'!$B$4,Orders[Дата],"&lt;"&amp;('Настройки'!$B$5+1),Orders[SKU],A53))</x:f>
      </x:c>
      <x:c r="E53" s="16" t="str">
        <x:f>IF(A53="","",SUMIFS(Orders[Выручка],Orders[Дата],"&gt;="&amp;'Настройки'!$B$4,Orders[Дата],"&lt;"&amp;('Настройки'!$B$5+1),Orders[SKU],A53))</x:f>
      </x:c>
      <x:c r="F53" s="16" t="str">
        <x:f>IF(A53="","",SUMIFS(Orders[Себестоимость],Orders[Дата],"&gt;="&amp;'Настройки'!$B$4,Orders[Дата],"&lt;"&amp;('Настройки'!$B$5+1),Orders[SKU],A53))</x:f>
      </x:c>
      <x:c r="G53" s="16" t="str">
        <x:f>IF(A53="","",SUMIFS(Orders[Прибыль],Orders[Дата],"&gt;="&amp;'Настройки'!$B$4,Orders[Дата],"&lt;"&amp;('Настройки'!$B$5+1),Orders[SKU],A53))</x:f>
      </x:c>
      <x:c r="H53" s="16" t="str">
        <x:f>IF(A53="","",MAX(0,-G53))</x:f>
      </x:c>
      <x:c r="I53" s="17" t="str">
        <x:f>IF(A53="","",IF(E53=0,"",G53/E53))</x:f>
      </x:c>
      <x:c r="J53" s="17" t="str">
        <x:f>IF(A53="","",IF(F53=0,"",(E53-F53)/F53))</x:f>
      </x:c>
      <x:c r="K53" s="11" t="str">
        <x:f>IF(A53="","",SUMIFS(Orders[Количество],Orders[Дата],"&gt;="&amp;'Настройки'!$B$4,Orders[Дата],"&lt;"&amp;('Настройки'!$B$5+1),Orders[SKU],A53,Orders[Статус],"Возврат"))</x:f>
      </x:c>
      <x:c r="L53" s="11" t="str">
        <x:f>IF(A53="","",SUMIFS(Orders[Количество],Orders[Дата],"&gt;="&amp;'Настройки'!$B$4,Orders[Дата],"&lt;"&amp;('Настройки'!$B$5+1),Orders[SKU],A53,Orders[Статус],"Отменён"))</x:f>
      </x:c>
      <x:c r="M53" s="16" t="str">
        <x:f>IF(A53="","",IF(D53=0,"",E53/D53))</x:f>
      </x:c>
      <x:c r="N53" s="17" t="str">
        <x:f>IF(A53="","",IF(F53=0,"",G53/F53))</x:f>
      </x:c>
      <x:c r="O53" s="11" t="str">
        <x:f>IF(A53="","",SUMIFS(Stock[Остаток],Stock[SKU],A53))</x:f>
      </x:c>
      <x:c r="P53" s="11" t="str">
        <x:f>IF(OR(A53="",E53=""),"",COUNTIFS(Products[Выручка],"&gt;"&amp;E53)+COUNTIFS($E$5:E53,E53,$A$5:A53,"&lt;&gt;"))</x:f>
      </x:c>
      <x:c r="Q53" s="11" t="str">
        <x:f>IF(OR(A53="",G53=""),"",COUNTIFS(Products[Прибыль],"&gt;"&amp;G53)+COUNTIFS($G$5:G53,G53,$A$5:A53,"&lt;&gt;"))</x:f>
      </x:c>
      <x:c r="R53" s="11" t="str">
        <x:f>IF(OR(A53="",I53=""),"",COUNTIFS(Products[Маржа],"&gt;"&amp;I53)+COUNTIFS($I$5:I53,I53,$A$5:A53,"&lt;&gt;"))</x:f>
      </x:c>
      <x:c r="S53" s="11" t="str">
        <x:f>IF(OR(A53="",J53=""),"",COUNTIFS(Products[Наценка],"&gt;"&amp;J53)+COUNTIFS($J$5:J53,J53,$A$5:A53,"&lt;&gt;"))</x:f>
      </x:c>
      <x:c r="T53" s="11" t="str">
        <x:f>IF(OR(A53="",H53&lt;=0),"",COUNTIFS(Products[Убыток],"&gt;"&amp;H53)+COUNTIFS($H$5:H53,H53,$A$5:A53,"&lt;&gt;"))</x:f>
      </x:c>
      <x:c r="U53" s="11" t="str">
        <x:f>IF(OR(A53="",K53&lt;=0),"",COUNTIFS(Products[Возвраты шт.],"&gt;"&amp;K53)+COUNTIFS($K$5:K53,K53,$A$5:A53,"&lt;&gt;"))</x:f>
      </x:c>
      <x:c r="V53" s="11" t="str">
        <x:f>IF(OR(A53="",L53&lt;=0),"",COUNTIFS(Products[Отмены шт.],"&gt;"&amp;L53)+COUNTIFS($L$5:L53,L53,$A$5:A53,"&lt;&gt;"))</x:f>
      </x:c>
    </x:row>
    <x:row r="54" ht="23" customHeight="1">
      <x:c r="A54" s="51"/>
      <x:c r="B54" s="51"/>
      <x:c r="C54" s="51"/>
      <x:c r="D54" s="11" t="str">
        <x:f>IF(A54="","",SUMIFS(Orders[Продано шт.],Orders[Дата],"&gt;="&amp;'Настройки'!$B$4,Orders[Дата],"&lt;"&amp;('Настройки'!$B$5+1),Orders[SKU],A54))</x:f>
      </x:c>
      <x:c r="E54" s="16" t="str">
        <x:f>IF(A54="","",SUMIFS(Orders[Выручка],Orders[Дата],"&gt;="&amp;'Настройки'!$B$4,Orders[Дата],"&lt;"&amp;('Настройки'!$B$5+1),Orders[SKU],A54))</x:f>
      </x:c>
      <x:c r="F54" s="16" t="str">
        <x:f>IF(A54="","",SUMIFS(Orders[Себестоимость],Orders[Дата],"&gt;="&amp;'Настройки'!$B$4,Orders[Дата],"&lt;"&amp;('Настройки'!$B$5+1),Orders[SKU],A54))</x:f>
      </x:c>
      <x:c r="G54" s="16" t="str">
        <x:f>IF(A54="","",SUMIFS(Orders[Прибыль],Orders[Дата],"&gt;="&amp;'Настройки'!$B$4,Orders[Дата],"&lt;"&amp;('Настройки'!$B$5+1),Orders[SKU],A54))</x:f>
      </x:c>
      <x:c r="H54" s="16" t="str">
        <x:f>IF(A54="","",MAX(0,-G54))</x:f>
      </x:c>
      <x:c r="I54" s="17" t="str">
        <x:f>IF(A54="","",IF(E54=0,"",G54/E54))</x:f>
      </x:c>
      <x:c r="J54" s="17" t="str">
        <x:f>IF(A54="","",IF(F54=0,"",(E54-F54)/F54))</x:f>
      </x:c>
      <x:c r="K54" s="11" t="str">
        <x:f>IF(A54="","",SUMIFS(Orders[Количество],Orders[Дата],"&gt;="&amp;'Настройки'!$B$4,Orders[Дата],"&lt;"&amp;('Настройки'!$B$5+1),Orders[SKU],A54,Orders[Статус],"Возврат"))</x:f>
      </x:c>
      <x:c r="L54" s="11" t="str">
        <x:f>IF(A54="","",SUMIFS(Orders[Количество],Orders[Дата],"&gt;="&amp;'Настройки'!$B$4,Orders[Дата],"&lt;"&amp;('Настройки'!$B$5+1),Orders[SKU],A54,Orders[Статус],"Отменён"))</x:f>
      </x:c>
      <x:c r="M54" s="16" t="str">
        <x:f>IF(A54="","",IF(D54=0,"",E54/D54))</x:f>
      </x:c>
      <x:c r="N54" s="17" t="str">
        <x:f>IF(A54="","",IF(F54=0,"",G54/F54))</x:f>
      </x:c>
      <x:c r="O54" s="11" t="str">
        <x:f>IF(A54="","",SUMIFS(Stock[Остаток],Stock[SKU],A54))</x:f>
      </x:c>
      <x:c r="P54" s="11" t="str">
        <x:f>IF(OR(A54="",E54=""),"",COUNTIFS(Products[Выручка],"&gt;"&amp;E54)+COUNTIFS($E$5:E54,E54,$A$5:A54,"&lt;&gt;"))</x:f>
      </x:c>
      <x:c r="Q54" s="11" t="str">
        <x:f>IF(OR(A54="",G54=""),"",COUNTIFS(Products[Прибыль],"&gt;"&amp;G54)+COUNTIFS($G$5:G54,G54,$A$5:A54,"&lt;&gt;"))</x:f>
      </x:c>
      <x:c r="R54" s="11" t="str">
        <x:f>IF(OR(A54="",I54=""),"",COUNTIFS(Products[Маржа],"&gt;"&amp;I54)+COUNTIFS($I$5:I54,I54,$A$5:A54,"&lt;&gt;"))</x:f>
      </x:c>
      <x:c r="S54" s="11" t="str">
        <x:f>IF(OR(A54="",J54=""),"",COUNTIFS(Products[Наценка],"&gt;"&amp;J54)+COUNTIFS($J$5:J54,J54,$A$5:A54,"&lt;&gt;"))</x:f>
      </x:c>
      <x:c r="T54" s="11" t="str">
        <x:f>IF(OR(A54="",H54&lt;=0),"",COUNTIFS(Products[Убыток],"&gt;"&amp;H54)+COUNTIFS($H$5:H54,H54,$A$5:A54,"&lt;&gt;"))</x:f>
      </x:c>
      <x:c r="U54" s="11" t="str">
        <x:f>IF(OR(A54="",K54&lt;=0),"",COUNTIFS(Products[Возвраты шт.],"&gt;"&amp;K54)+COUNTIFS($K$5:K54,K54,$A$5:A54,"&lt;&gt;"))</x:f>
      </x:c>
      <x:c r="V54" s="11" t="str">
        <x:f>IF(OR(A54="",L54&lt;=0),"",COUNTIFS(Products[Отмены шт.],"&gt;"&amp;L54)+COUNTIFS($L$5:L54,L54,$A$5:A54,"&lt;&gt;"))</x:f>
      </x:c>
    </x:row>
    <x:row r="55" ht="23" customHeight="1">
      <x:c r="A55" s="51"/>
      <x:c r="B55" s="51"/>
      <x:c r="C55" s="51"/>
      <x:c r="D55" s="11" t="str">
        <x:f>IF(A55="","",SUMIFS(Orders[Продано шт.],Orders[Дата],"&gt;="&amp;'Настройки'!$B$4,Orders[Дата],"&lt;"&amp;('Настройки'!$B$5+1),Orders[SKU],A55))</x:f>
      </x:c>
      <x:c r="E55" s="16" t="str">
        <x:f>IF(A55="","",SUMIFS(Orders[Выручка],Orders[Дата],"&gt;="&amp;'Настройки'!$B$4,Orders[Дата],"&lt;"&amp;('Настройки'!$B$5+1),Orders[SKU],A55))</x:f>
      </x:c>
      <x:c r="F55" s="16" t="str">
        <x:f>IF(A55="","",SUMIFS(Orders[Себестоимость],Orders[Дата],"&gt;="&amp;'Настройки'!$B$4,Orders[Дата],"&lt;"&amp;('Настройки'!$B$5+1),Orders[SKU],A55))</x:f>
      </x:c>
      <x:c r="G55" s="16" t="str">
        <x:f>IF(A55="","",SUMIFS(Orders[Прибыль],Orders[Дата],"&gt;="&amp;'Настройки'!$B$4,Orders[Дата],"&lt;"&amp;('Настройки'!$B$5+1),Orders[SKU],A55))</x:f>
      </x:c>
      <x:c r="H55" s="16" t="str">
        <x:f>IF(A55="","",MAX(0,-G55))</x:f>
      </x:c>
      <x:c r="I55" s="17" t="str">
        <x:f>IF(A55="","",IF(E55=0,"",G55/E55))</x:f>
      </x:c>
      <x:c r="J55" s="17" t="str">
        <x:f>IF(A55="","",IF(F55=0,"",(E55-F55)/F55))</x:f>
      </x:c>
      <x:c r="K55" s="11" t="str">
        <x:f>IF(A55="","",SUMIFS(Orders[Количество],Orders[Дата],"&gt;="&amp;'Настройки'!$B$4,Orders[Дата],"&lt;"&amp;('Настройки'!$B$5+1),Orders[SKU],A55,Orders[Статус],"Возврат"))</x:f>
      </x:c>
      <x:c r="L55" s="11" t="str">
        <x:f>IF(A55="","",SUMIFS(Orders[Количество],Orders[Дата],"&gt;="&amp;'Настройки'!$B$4,Orders[Дата],"&lt;"&amp;('Настройки'!$B$5+1),Orders[SKU],A55,Orders[Статус],"Отменён"))</x:f>
      </x:c>
      <x:c r="M55" s="16" t="str">
        <x:f>IF(A55="","",IF(D55=0,"",E55/D55))</x:f>
      </x:c>
      <x:c r="N55" s="17" t="str">
        <x:f>IF(A55="","",IF(F55=0,"",G55/F55))</x:f>
      </x:c>
      <x:c r="O55" s="11" t="str">
        <x:f>IF(A55="","",SUMIFS(Stock[Остаток],Stock[SKU],A55))</x:f>
      </x:c>
      <x:c r="P55" s="11" t="str">
        <x:f>IF(OR(A55="",E55=""),"",COUNTIFS(Products[Выручка],"&gt;"&amp;E55)+COUNTIFS($E$5:E55,E55,$A$5:A55,"&lt;&gt;"))</x:f>
      </x:c>
      <x:c r="Q55" s="11" t="str">
        <x:f>IF(OR(A55="",G55=""),"",COUNTIFS(Products[Прибыль],"&gt;"&amp;G55)+COUNTIFS($G$5:G55,G55,$A$5:A55,"&lt;&gt;"))</x:f>
      </x:c>
      <x:c r="R55" s="11" t="str">
        <x:f>IF(OR(A55="",I55=""),"",COUNTIFS(Products[Маржа],"&gt;"&amp;I55)+COUNTIFS($I$5:I55,I55,$A$5:A55,"&lt;&gt;"))</x:f>
      </x:c>
      <x:c r="S55" s="11" t="str">
        <x:f>IF(OR(A55="",J55=""),"",COUNTIFS(Products[Наценка],"&gt;"&amp;J55)+COUNTIFS($J$5:J55,J55,$A$5:A55,"&lt;&gt;"))</x:f>
      </x:c>
      <x:c r="T55" s="11" t="str">
        <x:f>IF(OR(A55="",H55&lt;=0),"",COUNTIFS(Products[Убыток],"&gt;"&amp;H55)+COUNTIFS($H$5:H55,H55,$A$5:A55,"&lt;&gt;"))</x:f>
      </x:c>
      <x:c r="U55" s="11" t="str">
        <x:f>IF(OR(A55="",K55&lt;=0),"",COUNTIFS(Products[Возвраты шт.],"&gt;"&amp;K55)+COUNTIFS($K$5:K55,K55,$A$5:A55,"&lt;&gt;"))</x:f>
      </x:c>
      <x:c r="V55" s="11" t="str">
        <x:f>IF(OR(A55="",L55&lt;=0),"",COUNTIFS(Products[Отмены шт.],"&gt;"&amp;L55)+COUNTIFS($L$5:L55,L55,$A$5:A55,"&lt;&gt;"))</x:f>
      </x:c>
    </x:row>
    <x:row r="56" ht="23" customHeight="1">
      <x:c r="A56" s="51"/>
      <x:c r="B56" s="51"/>
      <x:c r="C56" s="51"/>
      <x:c r="D56" s="11" t="str">
        <x:f>IF(A56="","",SUMIFS(Orders[Продано шт.],Orders[Дата],"&gt;="&amp;'Настройки'!$B$4,Orders[Дата],"&lt;"&amp;('Настройки'!$B$5+1),Orders[SKU],A56))</x:f>
      </x:c>
      <x:c r="E56" s="16" t="str">
        <x:f>IF(A56="","",SUMIFS(Orders[Выручка],Orders[Дата],"&gt;="&amp;'Настройки'!$B$4,Orders[Дата],"&lt;"&amp;('Настройки'!$B$5+1),Orders[SKU],A56))</x:f>
      </x:c>
      <x:c r="F56" s="16" t="str">
        <x:f>IF(A56="","",SUMIFS(Orders[Себестоимость],Orders[Дата],"&gt;="&amp;'Настройки'!$B$4,Orders[Дата],"&lt;"&amp;('Настройки'!$B$5+1),Orders[SKU],A56))</x:f>
      </x:c>
      <x:c r="G56" s="16" t="str">
        <x:f>IF(A56="","",SUMIFS(Orders[Прибыль],Orders[Дата],"&gt;="&amp;'Настройки'!$B$4,Orders[Дата],"&lt;"&amp;('Настройки'!$B$5+1),Orders[SKU],A56))</x:f>
      </x:c>
      <x:c r="H56" s="16" t="str">
        <x:f>IF(A56="","",MAX(0,-G56))</x:f>
      </x:c>
      <x:c r="I56" s="17" t="str">
        <x:f>IF(A56="","",IF(E56=0,"",G56/E56))</x:f>
      </x:c>
      <x:c r="J56" s="17" t="str">
        <x:f>IF(A56="","",IF(F56=0,"",(E56-F56)/F56))</x:f>
      </x:c>
      <x:c r="K56" s="11" t="str">
        <x:f>IF(A56="","",SUMIFS(Orders[Количество],Orders[Дата],"&gt;="&amp;'Настройки'!$B$4,Orders[Дата],"&lt;"&amp;('Настройки'!$B$5+1),Orders[SKU],A56,Orders[Статус],"Возврат"))</x:f>
      </x:c>
      <x:c r="L56" s="11" t="str">
        <x:f>IF(A56="","",SUMIFS(Orders[Количество],Orders[Дата],"&gt;="&amp;'Настройки'!$B$4,Orders[Дата],"&lt;"&amp;('Настройки'!$B$5+1),Orders[SKU],A56,Orders[Статус],"Отменён"))</x:f>
      </x:c>
      <x:c r="M56" s="16" t="str">
        <x:f>IF(A56="","",IF(D56=0,"",E56/D56))</x:f>
      </x:c>
      <x:c r="N56" s="17" t="str">
        <x:f>IF(A56="","",IF(F56=0,"",G56/F56))</x:f>
      </x:c>
      <x:c r="O56" s="11" t="str">
        <x:f>IF(A56="","",SUMIFS(Stock[Остаток],Stock[SKU],A56))</x:f>
      </x:c>
      <x:c r="P56" s="11" t="str">
        <x:f>IF(OR(A56="",E56=""),"",COUNTIFS(Products[Выручка],"&gt;"&amp;E56)+COUNTIFS($E$5:E56,E56,$A$5:A56,"&lt;&gt;"))</x:f>
      </x:c>
      <x:c r="Q56" s="11" t="str">
        <x:f>IF(OR(A56="",G56=""),"",COUNTIFS(Products[Прибыль],"&gt;"&amp;G56)+COUNTIFS($G$5:G56,G56,$A$5:A56,"&lt;&gt;"))</x:f>
      </x:c>
      <x:c r="R56" s="11" t="str">
        <x:f>IF(OR(A56="",I56=""),"",COUNTIFS(Products[Маржа],"&gt;"&amp;I56)+COUNTIFS($I$5:I56,I56,$A$5:A56,"&lt;&gt;"))</x:f>
      </x:c>
      <x:c r="S56" s="11" t="str">
        <x:f>IF(OR(A56="",J56=""),"",COUNTIFS(Products[Наценка],"&gt;"&amp;J56)+COUNTIFS($J$5:J56,J56,$A$5:A56,"&lt;&gt;"))</x:f>
      </x:c>
      <x:c r="T56" s="11" t="str">
        <x:f>IF(OR(A56="",H56&lt;=0),"",COUNTIFS(Products[Убыток],"&gt;"&amp;H56)+COUNTIFS($H$5:H56,H56,$A$5:A56,"&lt;&gt;"))</x:f>
      </x:c>
      <x:c r="U56" s="11" t="str">
        <x:f>IF(OR(A56="",K56&lt;=0),"",COUNTIFS(Products[Возвраты шт.],"&gt;"&amp;K56)+COUNTIFS($K$5:K56,K56,$A$5:A56,"&lt;&gt;"))</x:f>
      </x:c>
      <x:c r="V56" s="11" t="str">
        <x:f>IF(OR(A56="",L56&lt;=0),"",COUNTIFS(Products[Отмены шт.],"&gt;"&amp;L56)+COUNTIFS($L$5:L56,L56,$A$5:A56,"&lt;&gt;"))</x:f>
      </x:c>
    </x:row>
    <x:row r="57" ht="23" customHeight="1">
      <x:c r="A57" s="51"/>
      <x:c r="B57" s="51"/>
      <x:c r="C57" s="51"/>
      <x:c r="D57" s="11" t="str">
        <x:f>IF(A57="","",SUMIFS(Orders[Продано шт.],Orders[Дата],"&gt;="&amp;'Настройки'!$B$4,Orders[Дата],"&lt;"&amp;('Настройки'!$B$5+1),Orders[SKU],A57))</x:f>
      </x:c>
      <x:c r="E57" s="16" t="str">
        <x:f>IF(A57="","",SUMIFS(Orders[Выручка],Orders[Дата],"&gt;="&amp;'Настройки'!$B$4,Orders[Дата],"&lt;"&amp;('Настройки'!$B$5+1),Orders[SKU],A57))</x:f>
      </x:c>
      <x:c r="F57" s="16" t="str">
        <x:f>IF(A57="","",SUMIFS(Orders[Себестоимость],Orders[Дата],"&gt;="&amp;'Настройки'!$B$4,Orders[Дата],"&lt;"&amp;('Настройки'!$B$5+1),Orders[SKU],A57))</x:f>
      </x:c>
      <x:c r="G57" s="16" t="str">
        <x:f>IF(A57="","",SUMIFS(Orders[Прибыль],Orders[Дата],"&gt;="&amp;'Настройки'!$B$4,Orders[Дата],"&lt;"&amp;('Настройки'!$B$5+1),Orders[SKU],A57))</x:f>
      </x:c>
      <x:c r="H57" s="16" t="str">
        <x:f>IF(A57="","",MAX(0,-G57))</x:f>
      </x:c>
      <x:c r="I57" s="17" t="str">
        <x:f>IF(A57="","",IF(E57=0,"",G57/E57))</x:f>
      </x:c>
      <x:c r="J57" s="17" t="str">
        <x:f>IF(A57="","",IF(F57=0,"",(E57-F57)/F57))</x:f>
      </x:c>
      <x:c r="K57" s="11" t="str">
        <x:f>IF(A57="","",SUMIFS(Orders[Количество],Orders[Дата],"&gt;="&amp;'Настройки'!$B$4,Orders[Дата],"&lt;"&amp;('Настройки'!$B$5+1),Orders[SKU],A57,Orders[Статус],"Возврат"))</x:f>
      </x:c>
      <x:c r="L57" s="11" t="str">
        <x:f>IF(A57="","",SUMIFS(Orders[Количество],Orders[Дата],"&gt;="&amp;'Настройки'!$B$4,Orders[Дата],"&lt;"&amp;('Настройки'!$B$5+1),Orders[SKU],A57,Orders[Статус],"Отменён"))</x:f>
      </x:c>
      <x:c r="M57" s="16" t="str">
        <x:f>IF(A57="","",IF(D57=0,"",E57/D57))</x:f>
      </x:c>
      <x:c r="N57" s="17" t="str">
        <x:f>IF(A57="","",IF(F57=0,"",G57/F57))</x:f>
      </x:c>
      <x:c r="O57" s="11" t="str">
        <x:f>IF(A57="","",SUMIFS(Stock[Остаток],Stock[SKU],A57))</x:f>
      </x:c>
      <x:c r="P57" s="11" t="str">
        <x:f>IF(OR(A57="",E57=""),"",COUNTIFS(Products[Выручка],"&gt;"&amp;E57)+COUNTIFS($E$5:E57,E57,$A$5:A57,"&lt;&gt;"))</x:f>
      </x:c>
      <x:c r="Q57" s="11" t="str">
        <x:f>IF(OR(A57="",G57=""),"",COUNTIFS(Products[Прибыль],"&gt;"&amp;G57)+COUNTIFS($G$5:G57,G57,$A$5:A57,"&lt;&gt;"))</x:f>
      </x:c>
      <x:c r="R57" s="11" t="str">
        <x:f>IF(OR(A57="",I57=""),"",COUNTIFS(Products[Маржа],"&gt;"&amp;I57)+COUNTIFS($I$5:I57,I57,$A$5:A57,"&lt;&gt;"))</x:f>
      </x:c>
      <x:c r="S57" s="11" t="str">
        <x:f>IF(OR(A57="",J57=""),"",COUNTIFS(Products[Наценка],"&gt;"&amp;J57)+COUNTIFS($J$5:J57,J57,$A$5:A57,"&lt;&gt;"))</x:f>
      </x:c>
      <x:c r="T57" s="11" t="str">
        <x:f>IF(OR(A57="",H57&lt;=0),"",COUNTIFS(Products[Убыток],"&gt;"&amp;H57)+COUNTIFS($H$5:H57,H57,$A$5:A57,"&lt;&gt;"))</x:f>
      </x:c>
      <x:c r="U57" s="11" t="str">
        <x:f>IF(OR(A57="",K57&lt;=0),"",COUNTIFS(Products[Возвраты шт.],"&gt;"&amp;K57)+COUNTIFS($K$5:K57,K57,$A$5:A57,"&lt;&gt;"))</x:f>
      </x:c>
      <x:c r="V57" s="11" t="str">
        <x:f>IF(OR(A57="",L57&lt;=0),"",COUNTIFS(Products[Отмены шт.],"&gt;"&amp;L57)+COUNTIFS($L$5:L57,L57,$A$5:A57,"&lt;&gt;"))</x:f>
      </x:c>
    </x:row>
    <x:row r="58" ht="23" customHeight="1">
      <x:c r="A58" s="51"/>
      <x:c r="B58" s="51"/>
      <x:c r="C58" s="51"/>
      <x:c r="D58" s="11" t="str">
        <x:f>IF(A58="","",SUMIFS(Orders[Продано шт.],Orders[Дата],"&gt;="&amp;'Настройки'!$B$4,Orders[Дата],"&lt;"&amp;('Настройки'!$B$5+1),Orders[SKU],A58))</x:f>
      </x:c>
      <x:c r="E58" s="16" t="str">
        <x:f>IF(A58="","",SUMIFS(Orders[Выручка],Orders[Дата],"&gt;="&amp;'Настройки'!$B$4,Orders[Дата],"&lt;"&amp;('Настройки'!$B$5+1),Orders[SKU],A58))</x:f>
      </x:c>
      <x:c r="F58" s="16" t="str">
        <x:f>IF(A58="","",SUMIFS(Orders[Себестоимость],Orders[Дата],"&gt;="&amp;'Настройки'!$B$4,Orders[Дата],"&lt;"&amp;('Настройки'!$B$5+1),Orders[SKU],A58))</x:f>
      </x:c>
      <x:c r="G58" s="16" t="str">
        <x:f>IF(A58="","",SUMIFS(Orders[Прибыль],Orders[Дата],"&gt;="&amp;'Настройки'!$B$4,Orders[Дата],"&lt;"&amp;('Настройки'!$B$5+1),Orders[SKU],A58))</x:f>
      </x:c>
      <x:c r="H58" s="16" t="str">
        <x:f>IF(A58="","",MAX(0,-G58))</x:f>
      </x:c>
      <x:c r="I58" s="17" t="str">
        <x:f>IF(A58="","",IF(E58=0,"",G58/E58))</x:f>
      </x:c>
      <x:c r="J58" s="17" t="str">
        <x:f>IF(A58="","",IF(F58=0,"",(E58-F58)/F58))</x:f>
      </x:c>
      <x:c r="K58" s="11" t="str">
        <x:f>IF(A58="","",SUMIFS(Orders[Количество],Orders[Дата],"&gt;="&amp;'Настройки'!$B$4,Orders[Дата],"&lt;"&amp;('Настройки'!$B$5+1),Orders[SKU],A58,Orders[Статус],"Возврат"))</x:f>
      </x:c>
      <x:c r="L58" s="11" t="str">
        <x:f>IF(A58="","",SUMIFS(Orders[Количество],Orders[Дата],"&gt;="&amp;'Настройки'!$B$4,Orders[Дата],"&lt;"&amp;('Настройки'!$B$5+1),Orders[SKU],A58,Orders[Статус],"Отменён"))</x:f>
      </x:c>
      <x:c r="M58" s="16" t="str">
        <x:f>IF(A58="","",IF(D58=0,"",E58/D58))</x:f>
      </x:c>
      <x:c r="N58" s="17" t="str">
        <x:f>IF(A58="","",IF(F58=0,"",G58/F58))</x:f>
      </x:c>
      <x:c r="O58" s="11" t="str">
        <x:f>IF(A58="","",SUMIFS(Stock[Остаток],Stock[SKU],A58))</x:f>
      </x:c>
      <x:c r="P58" s="11" t="str">
        <x:f>IF(OR(A58="",E58=""),"",COUNTIFS(Products[Выручка],"&gt;"&amp;E58)+COUNTIFS($E$5:E58,E58,$A$5:A58,"&lt;&gt;"))</x:f>
      </x:c>
      <x:c r="Q58" s="11" t="str">
        <x:f>IF(OR(A58="",G58=""),"",COUNTIFS(Products[Прибыль],"&gt;"&amp;G58)+COUNTIFS($G$5:G58,G58,$A$5:A58,"&lt;&gt;"))</x:f>
      </x:c>
      <x:c r="R58" s="11" t="str">
        <x:f>IF(OR(A58="",I58=""),"",COUNTIFS(Products[Маржа],"&gt;"&amp;I58)+COUNTIFS($I$5:I58,I58,$A$5:A58,"&lt;&gt;"))</x:f>
      </x:c>
      <x:c r="S58" s="11" t="str">
        <x:f>IF(OR(A58="",J58=""),"",COUNTIFS(Products[Наценка],"&gt;"&amp;J58)+COUNTIFS($J$5:J58,J58,$A$5:A58,"&lt;&gt;"))</x:f>
      </x:c>
      <x:c r="T58" s="11" t="str">
        <x:f>IF(OR(A58="",H58&lt;=0),"",COUNTIFS(Products[Убыток],"&gt;"&amp;H58)+COUNTIFS($H$5:H58,H58,$A$5:A58,"&lt;&gt;"))</x:f>
      </x:c>
      <x:c r="U58" s="11" t="str">
        <x:f>IF(OR(A58="",K58&lt;=0),"",COUNTIFS(Products[Возвраты шт.],"&gt;"&amp;K58)+COUNTIFS($K$5:K58,K58,$A$5:A58,"&lt;&gt;"))</x:f>
      </x:c>
      <x:c r="V58" s="11" t="str">
        <x:f>IF(OR(A58="",L58&lt;=0),"",COUNTIFS(Products[Отмены шт.],"&gt;"&amp;L58)+COUNTIFS($L$5:L58,L58,$A$5:A58,"&lt;&gt;"))</x:f>
      </x:c>
    </x:row>
    <x:row r="59" ht="23" customHeight="1">
      <x:c r="A59" s="51"/>
      <x:c r="B59" s="51"/>
      <x:c r="C59" s="51"/>
      <x:c r="D59" s="11" t="str">
        <x:f>IF(A59="","",SUMIFS(Orders[Продано шт.],Orders[Дата],"&gt;="&amp;'Настройки'!$B$4,Orders[Дата],"&lt;"&amp;('Настройки'!$B$5+1),Orders[SKU],A59))</x:f>
      </x:c>
      <x:c r="E59" s="16" t="str">
        <x:f>IF(A59="","",SUMIFS(Orders[Выручка],Orders[Дата],"&gt;="&amp;'Настройки'!$B$4,Orders[Дата],"&lt;"&amp;('Настройки'!$B$5+1),Orders[SKU],A59))</x:f>
      </x:c>
      <x:c r="F59" s="16" t="str">
        <x:f>IF(A59="","",SUMIFS(Orders[Себестоимость],Orders[Дата],"&gt;="&amp;'Настройки'!$B$4,Orders[Дата],"&lt;"&amp;('Настройки'!$B$5+1),Orders[SKU],A59))</x:f>
      </x:c>
      <x:c r="G59" s="16" t="str">
        <x:f>IF(A59="","",SUMIFS(Orders[Прибыль],Orders[Дата],"&gt;="&amp;'Настройки'!$B$4,Orders[Дата],"&lt;"&amp;('Настройки'!$B$5+1),Orders[SKU],A59))</x:f>
      </x:c>
      <x:c r="H59" s="16" t="str">
        <x:f>IF(A59="","",MAX(0,-G59))</x:f>
      </x:c>
      <x:c r="I59" s="17" t="str">
        <x:f>IF(A59="","",IF(E59=0,"",G59/E59))</x:f>
      </x:c>
      <x:c r="J59" s="17" t="str">
        <x:f>IF(A59="","",IF(F59=0,"",(E59-F59)/F59))</x:f>
      </x:c>
      <x:c r="K59" s="11" t="str">
        <x:f>IF(A59="","",SUMIFS(Orders[Количество],Orders[Дата],"&gt;="&amp;'Настройки'!$B$4,Orders[Дата],"&lt;"&amp;('Настройки'!$B$5+1),Orders[SKU],A59,Orders[Статус],"Возврат"))</x:f>
      </x:c>
      <x:c r="L59" s="11" t="str">
        <x:f>IF(A59="","",SUMIFS(Orders[Количество],Orders[Дата],"&gt;="&amp;'Настройки'!$B$4,Orders[Дата],"&lt;"&amp;('Настройки'!$B$5+1),Orders[SKU],A59,Orders[Статус],"Отменён"))</x:f>
      </x:c>
      <x:c r="M59" s="16" t="str">
        <x:f>IF(A59="","",IF(D59=0,"",E59/D59))</x:f>
      </x:c>
      <x:c r="N59" s="17" t="str">
        <x:f>IF(A59="","",IF(F59=0,"",G59/F59))</x:f>
      </x:c>
      <x:c r="O59" s="11" t="str">
        <x:f>IF(A59="","",SUMIFS(Stock[Остаток],Stock[SKU],A59))</x:f>
      </x:c>
      <x:c r="P59" s="11" t="str">
        <x:f>IF(OR(A59="",E59=""),"",COUNTIFS(Products[Выручка],"&gt;"&amp;E59)+COUNTIFS($E$5:E59,E59,$A$5:A59,"&lt;&gt;"))</x:f>
      </x:c>
      <x:c r="Q59" s="11" t="str">
        <x:f>IF(OR(A59="",G59=""),"",COUNTIFS(Products[Прибыль],"&gt;"&amp;G59)+COUNTIFS($G$5:G59,G59,$A$5:A59,"&lt;&gt;"))</x:f>
      </x:c>
      <x:c r="R59" s="11" t="str">
        <x:f>IF(OR(A59="",I59=""),"",COUNTIFS(Products[Маржа],"&gt;"&amp;I59)+COUNTIFS($I$5:I59,I59,$A$5:A59,"&lt;&gt;"))</x:f>
      </x:c>
      <x:c r="S59" s="11" t="str">
        <x:f>IF(OR(A59="",J59=""),"",COUNTIFS(Products[Наценка],"&gt;"&amp;J59)+COUNTIFS($J$5:J59,J59,$A$5:A59,"&lt;&gt;"))</x:f>
      </x:c>
      <x:c r="T59" s="11" t="str">
        <x:f>IF(OR(A59="",H59&lt;=0),"",COUNTIFS(Products[Убыток],"&gt;"&amp;H59)+COUNTIFS($H$5:H59,H59,$A$5:A59,"&lt;&gt;"))</x:f>
      </x:c>
      <x:c r="U59" s="11" t="str">
        <x:f>IF(OR(A59="",K59&lt;=0),"",COUNTIFS(Products[Возвраты шт.],"&gt;"&amp;K59)+COUNTIFS($K$5:K59,K59,$A$5:A59,"&lt;&gt;"))</x:f>
      </x:c>
      <x:c r="V59" s="11" t="str">
        <x:f>IF(OR(A59="",L59&lt;=0),"",COUNTIFS(Products[Отмены шт.],"&gt;"&amp;L59)+COUNTIFS($L$5:L59,L59,$A$5:A59,"&lt;&gt;"))</x:f>
      </x:c>
    </x:row>
    <x:row r="60" ht="23" customHeight="1">
      <x:c r="A60" s="51"/>
      <x:c r="B60" s="51"/>
      <x:c r="C60" s="51"/>
      <x:c r="D60" s="11" t="str">
        <x:f>IF(A60="","",SUMIFS(Orders[Продано шт.],Orders[Дата],"&gt;="&amp;'Настройки'!$B$4,Orders[Дата],"&lt;"&amp;('Настройки'!$B$5+1),Orders[SKU],A60))</x:f>
      </x:c>
      <x:c r="E60" s="16" t="str">
        <x:f>IF(A60="","",SUMIFS(Orders[Выручка],Orders[Дата],"&gt;="&amp;'Настройки'!$B$4,Orders[Дата],"&lt;"&amp;('Настройки'!$B$5+1),Orders[SKU],A60))</x:f>
      </x:c>
      <x:c r="F60" s="16" t="str">
        <x:f>IF(A60="","",SUMIFS(Orders[Себестоимость],Orders[Дата],"&gt;="&amp;'Настройки'!$B$4,Orders[Дата],"&lt;"&amp;('Настройки'!$B$5+1),Orders[SKU],A60))</x:f>
      </x:c>
      <x:c r="G60" s="16" t="str">
        <x:f>IF(A60="","",SUMIFS(Orders[Прибыль],Orders[Дата],"&gt;="&amp;'Настройки'!$B$4,Orders[Дата],"&lt;"&amp;('Настройки'!$B$5+1),Orders[SKU],A60))</x:f>
      </x:c>
      <x:c r="H60" s="16" t="str">
        <x:f>IF(A60="","",MAX(0,-G60))</x:f>
      </x:c>
      <x:c r="I60" s="17" t="str">
        <x:f>IF(A60="","",IF(E60=0,"",G60/E60))</x:f>
      </x:c>
      <x:c r="J60" s="17" t="str">
        <x:f>IF(A60="","",IF(F60=0,"",(E60-F60)/F60))</x:f>
      </x:c>
      <x:c r="K60" s="11" t="str">
        <x:f>IF(A60="","",SUMIFS(Orders[Количество],Orders[Дата],"&gt;="&amp;'Настройки'!$B$4,Orders[Дата],"&lt;"&amp;('Настройки'!$B$5+1),Orders[SKU],A60,Orders[Статус],"Возврат"))</x:f>
      </x:c>
      <x:c r="L60" s="11" t="str">
        <x:f>IF(A60="","",SUMIFS(Orders[Количество],Orders[Дата],"&gt;="&amp;'Настройки'!$B$4,Orders[Дата],"&lt;"&amp;('Настройки'!$B$5+1),Orders[SKU],A60,Orders[Статус],"Отменён"))</x:f>
      </x:c>
      <x:c r="M60" s="16" t="str">
        <x:f>IF(A60="","",IF(D60=0,"",E60/D60))</x:f>
      </x:c>
      <x:c r="N60" s="17" t="str">
        <x:f>IF(A60="","",IF(F60=0,"",G60/F60))</x:f>
      </x:c>
      <x:c r="O60" s="11" t="str">
        <x:f>IF(A60="","",SUMIFS(Stock[Остаток],Stock[SKU],A60))</x:f>
      </x:c>
      <x:c r="P60" s="11" t="str">
        <x:f>IF(OR(A60="",E60=""),"",COUNTIFS(Products[Выручка],"&gt;"&amp;E60)+COUNTIFS($E$5:E60,E60,$A$5:A60,"&lt;&gt;"))</x:f>
      </x:c>
      <x:c r="Q60" s="11" t="str">
        <x:f>IF(OR(A60="",G60=""),"",COUNTIFS(Products[Прибыль],"&gt;"&amp;G60)+COUNTIFS($G$5:G60,G60,$A$5:A60,"&lt;&gt;"))</x:f>
      </x:c>
      <x:c r="R60" s="11" t="str">
        <x:f>IF(OR(A60="",I60=""),"",COUNTIFS(Products[Маржа],"&gt;"&amp;I60)+COUNTIFS($I$5:I60,I60,$A$5:A60,"&lt;&gt;"))</x:f>
      </x:c>
      <x:c r="S60" s="11" t="str">
        <x:f>IF(OR(A60="",J60=""),"",COUNTIFS(Products[Наценка],"&gt;"&amp;J60)+COUNTIFS($J$5:J60,J60,$A$5:A60,"&lt;&gt;"))</x:f>
      </x:c>
      <x:c r="T60" s="11" t="str">
        <x:f>IF(OR(A60="",H60&lt;=0),"",COUNTIFS(Products[Убыток],"&gt;"&amp;H60)+COUNTIFS($H$5:H60,H60,$A$5:A60,"&lt;&gt;"))</x:f>
      </x:c>
      <x:c r="U60" s="11" t="str">
        <x:f>IF(OR(A60="",K60&lt;=0),"",COUNTIFS(Products[Возвраты шт.],"&gt;"&amp;K60)+COUNTIFS($K$5:K60,K60,$A$5:A60,"&lt;&gt;"))</x:f>
      </x:c>
      <x:c r="V60" s="11" t="str">
        <x:f>IF(OR(A60="",L60&lt;=0),"",COUNTIFS(Products[Отмены шт.],"&gt;"&amp;L60)+COUNTIFS($L$5:L60,L60,$A$5:A60,"&lt;&gt;"))</x:f>
      </x:c>
    </x:row>
    <x:row r="61" ht="23" customHeight="1">
      <x:c r="A61" s="51"/>
      <x:c r="B61" s="51"/>
      <x:c r="C61" s="51"/>
      <x:c r="D61" s="11" t="str">
        <x:f>IF(A61="","",SUMIFS(Orders[Продано шт.],Orders[Дата],"&gt;="&amp;'Настройки'!$B$4,Orders[Дата],"&lt;"&amp;('Настройки'!$B$5+1),Orders[SKU],A61))</x:f>
      </x:c>
      <x:c r="E61" s="16" t="str">
        <x:f>IF(A61="","",SUMIFS(Orders[Выручка],Orders[Дата],"&gt;="&amp;'Настройки'!$B$4,Orders[Дата],"&lt;"&amp;('Настройки'!$B$5+1),Orders[SKU],A61))</x:f>
      </x:c>
      <x:c r="F61" s="16" t="str">
        <x:f>IF(A61="","",SUMIFS(Orders[Себестоимость],Orders[Дата],"&gt;="&amp;'Настройки'!$B$4,Orders[Дата],"&lt;"&amp;('Настройки'!$B$5+1),Orders[SKU],A61))</x:f>
      </x:c>
      <x:c r="G61" s="16" t="str">
        <x:f>IF(A61="","",SUMIFS(Orders[Прибыль],Orders[Дата],"&gt;="&amp;'Настройки'!$B$4,Orders[Дата],"&lt;"&amp;('Настройки'!$B$5+1),Orders[SKU],A61))</x:f>
      </x:c>
      <x:c r="H61" s="16" t="str">
        <x:f>IF(A61="","",MAX(0,-G61))</x:f>
      </x:c>
      <x:c r="I61" s="17" t="str">
        <x:f>IF(A61="","",IF(E61=0,"",G61/E61))</x:f>
      </x:c>
      <x:c r="J61" s="17" t="str">
        <x:f>IF(A61="","",IF(F61=0,"",(E61-F61)/F61))</x:f>
      </x:c>
      <x:c r="K61" s="11" t="str">
        <x:f>IF(A61="","",SUMIFS(Orders[Количество],Orders[Дата],"&gt;="&amp;'Настройки'!$B$4,Orders[Дата],"&lt;"&amp;('Настройки'!$B$5+1),Orders[SKU],A61,Orders[Статус],"Возврат"))</x:f>
      </x:c>
      <x:c r="L61" s="11" t="str">
        <x:f>IF(A61="","",SUMIFS(Orders[Количество],Orders[Дата],"&gt;="&amp;'Настройки'!$B$4,Orders[Дата],"&lt;"&amp;('Настройки'!$B$5+1),Orders[SKU],A61,Orders[Статус],"Отменён"))</x:f>
      </x:c>
      <x:c r="M61" s="16" t="str">
        <x:f>IF(A61="","",IF(D61=0,"",E61/D61))</x:f>
      </x:c>
      <x:c r="N61" s="17" t="str">
        <x:f>IF(A61="","",IF(F61=0,"",G61/F61))</x:f>
      </x:c>
      <x:c r="O61" s="11" t="str">
        <x:f>IF(A61="","",SUMIFS(Stock[Остаток],Stock[SKU],A61))</x:f>
      </x:c>
      <x:c r="P61" s="11" t="str">
        <x:f>IF(OR(A61="",E61=""),"",COUNTIFS(Products[Выручка],"&gt;"&amp;E61)+COUNTIFS($E$5:E61,E61,$A$5:A61,"&lt;&gt;"))</x:f>
      </x:c>
      <x:c r="Q61" s="11" t="str">
        <x:f>IF(OR(A61="",G61=""),"",COUNTIFS(Products[Прибыль],"&gt;"&amp;G61)+COUNTIFS($G$5:G61,G61,$A$5:A61,"&lt;&gt;"))</x:f>
      </x:c>
      <x:c r="R61" s="11" t="str">
        <x:f>IF(OR(A61="",I61=""),"",COUNTIFS(Products[Маржа],"&gt;"&amp;I61)+COUNTIFS($I$5:I61,I61,$A$5:A61,"&lt;&gt;"))</x:f>
      </x:c>
      <x:c r="S61" s="11" t="str">
        <x:f>IF(OR(A61="",J61=""),"",COUNTIFS(Products[Наценка],"&gt;"&amp;J61)+COUNTIFS($J$5:J61,J61,$A$5:A61,"&lt;&gt;"))</x:f>
      </x:c>
      <x:c r="T61" s="11" t="str">
        <x:f>IF(OR(A61="",H61&lt;=0),"",COUNTIFS(Products[Убыток],"&gt;"&amp;H61)+COUNTIFS($H$5:H61,H61,$A$5:A61,"&lt;&gt;"))</x:f>
      </x:c>
      <x:c r="U61" s="11" t="str">
        <x:f>IF(OR(A61="",K61&lt;=0),"",COUNTIFS(Products[Возвраты шт.],"&gt;"&amp;K61)+COUNTIFS($K$5:K61,K61,$A$5:A61,"&lt;&gt;"))</x:f>
      </x:c>
      <x:c r="V61" s="11" t="str">
        <x:f>IF(OR(A61="",L61&lt;=0),"",COUNTIFS(Products[Отмены шт.],"&gt;"&amp;L61)+COUNTIFS($L$5:L61,L61,$A$5:A61,"&lt;&gt;"))</x:f>
      </x:c>
    </x:row>
    <x:row r="62" ht="23" customHeight="1">
      <x:c r="A62" s="51"/>
      <x:c r="B62" s="51"/>
      <x:c r="C62" s="51"/>
      <x:c r="D62" s="11" t="str">
        <x:f>IF(A62="","",SUMIFS(Orders[Продано шт.],Orders[Дата],"&gt;="&amp;'Настройки'!$B$4,Orders[Дата],"&lt;"&amp;('Настройки'!$B$5+1),Orders[SKU],A62))</x:f>
      </x:c>
      <x:c r="E62" s="16" t="str">
        <x:f>IF(A62="","",SUMIFS(Orders[Выручка],Orders[Дата],"&gt;="&amp;'Настройки'!$B$4,Orders[Дата],"&lt;"&amp;('Настройки'!$B$5+1),Orders[SKU],A62))</x:f>
      </x:c>
      <x:c r="F62" s="16" t="str">
        <x:f>IF(A62="","",SUMIFS(Orders[Себестоимость],Orders[Дата],"&gt;="&amp;'Настройки'!$B$4,Orders[Дата],"&lt;"&amp;('Настройки'!$B$5+1),Orders[SKU],A62))</x:f>
      </x:c>
      <x:c r="G62" s="16" t="str">
        <x:f>IF(A62="","",SUMIFS(Orders[Прибыль],Orders[Дата],"&gt;="&amp;'Настройки'!$B$4,Orders[Дата],"&lt;"&amp;('Настройки'!$B$5+1),Orders[SKU],A62))</x:f>
      </x:c>
      <x:c r="H62" s="16" t="str">
        <x:f>IF(A62="","",MAX(0,-G62))</x:f>
      </x:c>
      <x:c r="I62" s="17" t="str">
        <x:f>IF(A62="","",IF(E62=0,"",G62/E62))</x:f>
      </x:c>
      <x:c r="J62" s="17" t="str">
        <x:f>IF(A62="","",IF(F62=0,"",(E62-F62)/F62))</x:f>
      </x:c>
      <x:c r="K62" s="11" t="str">
        <x:f>IF(A62="","",SUMIFS(Orders[Количество],Orders[Дата],"&gt;="&amp;'Настройки'!$B$4,Orders[Дата],"&lt;"&amp;('Настройки'!$B$5+1),Orders[SKU],A62,Orders[Статус],"Возврат"))</x:f>
      </x:c>
      <x:c r="L62" s="11" t="str">
        <x:f>IF(A62="","",SUMIFS(Orders[Количество],Orders[Дата],"&gt;="&amp;'Настройки'!$B$4,Orders[Дата],"&lt;"&amp;('Настройки'!$B$5+1),Orders[SKU],A62,Orders[Статус],"Отменён"))</x:f>
      </x:c>
      <x:c r="M62" s="16" t="str">
        <x:f>IF(A62="","",IF(D62=0,"",E62/D62))</x:f>
      </x:c>
      <x:c r="N62" s="17" t="str">
        <x:f>IF(A62="","",IF(F62=0,"",G62/F62))</x:f>
      </x:c>
      <x:c r="O62" s="11" t="str">
        <x:f>IF(A62="","",SUMIFS(Stock[Остаток],Stock[SKU],A62))</x:f>
      </x:c>
      <x:c r="P62" s="11" t="str">
        <x:f>IF(OR(A62="",E62=""),"",COUNTIFS(Products[Выручка],"&gt;"&amp;E62)+COUNTIFS($E$5:E62,E62,$A$5:A62,"&lt;&gt;"))</x:f>
      </x:c>
      <x:c r="Q62" s="11" t="str">
        <x:f>IF(OR(A62="",G62=""),"",COUNTIFS(Products[Прибыль],"&gt;"&amp;G62)+COUNTIFS($G$5:G62,G62,$A$5:A62,"&lt;&gt;"))</x:f>
      </x:c>
      <x:c r="R62" s="11" t="str">
        <x:f>IF(OR(A62="",I62=""),"",COUNTIFS(Products[Маржа],"&gt;"&amp;I62)+COUNTIFS($I$5:I62,I62,$A$5:A62,"&lt;&gt;"))</x:f>
      </x:c>
      <x:c r="S62" s="11" t="str">
        <x:f>IF(OR(A62="",J62=""),"",COUNTIFS(Products[Наценка],"&gt;"&amp;J62)+COUNTIFS($J$5:J62,J62,$A$5:A62,"&lt;&gt;"))</x:f>
      </x:c>
      <x:c r="T62" s="11" t="str">
        <x:f>IF(OR(A62="",H62&lt;=0),"",COUNTIFS(Products[Убыток],"&gt;"&amp;H62)+COUNTIFS($H$5:H62,H62,$A$5:A62,"&lt;&gt;"))</x:f>
      </x:c>
      <x:c r="U62" s="11" t="str">
        <x:f>IF(OR(A62="",K62&lt;=0),"",COUNTIFS(Products[Возвраты шт.],"&gt;"&amp;K62)+COUNTIFS($K$5:K62,K62,$A$5:A62,"&lt;&gt;"))</x:f>
      </x:c>
      <x:c r="V62" s="11" t="str">
        <x:f>IF(OR(A62="",L62&lt;=0),"",COUNTIFS(Products[Отмены шт.],"&gt;"&amp;L62)+COUNTIFS($L$5:L62,L62,$A$5:A62,"&lt;&gt;"))</x:f>
      </x:c>
    </x:row>
    <x:row r="63" ht="23" customHeight="1">
      <x:c r="A63" s="51"/>
      <x:c r="B63" s="51"/>
      <x:c r="C63" s="51"/>
      <x:c r="D63" s="11" t="str">
        <x:f>IF(A63="","",SUMIFS(Orders[Продано шт.],Orders[Дата],"&gt;="&amp;'Настройки'!$B$4,Orders[Дата],"&lt;"&amp;('Настройки'!$B$5+1),Orders[SKU],A63))</x:f>
      </x:c>
      <x:c r="E63" s="16" t="str">
        <x:f>IF(A63="","",SUMIFS(Orders[Выручка],Orders[Дата],"&gt;="&amp;'Настройки'!$B$4,Orders[Дата],"&lt;"&amp;('Настройки'!$B$5+1),Orders[SKU],A63))</x:f>
      </x:c>
      <x:c r="F63" s="16" t="str">
        <x:f>IF(A63="","",SUMIFS(Orders[Себестоимость],Orders[Дата],"&gt;="&amp;'Настройки'!$B$4,Orders[Дата],"&lt;"&amp;('Настройки'!$B$5+1),Orders[SKU],A63))</x:f>
      </x:c>
      <x:c r="G63" s="16" t="str">
        <x:f>IF(A63="","",SUMIFS(Orders[Прибыль],Orders[Дата],"&gt;="&amp;'Настройки'!$B$4,Orders[Дата],"&lt;"&amp;('Настройки'!$B$5+1),Orders[SKU],A63))</x:f>
      </x:c>
      <x:c r="H63" s="16" t="str">
        <x:f>IF(A63="","",MAX(0,-G63))</x:f>
      </x:c>
      <x:c r="I63" s="17" t="str">
        <x:f>IF(A63="","",IF(E63=0,"",G63/E63))</x:f>
      </x:c>
      <x:c r="J63" s="17" t="str">
        <x:f>IF(A63="","",IF(F63=0,"",(E63-F63)/F63))</x:f>
      </x:c>
      <x:c r="K63" s="11" t="str">
        <x:f>IF(A63="","",SUMIFS(Orders[Количество],Orders[Дата],"&gt;="&amp;'Настройки'!$B$4,Orders[Дата],"&lt;"&amp;('Настройки'!$B$5+1),Orders[SKU],A63,Orders[Статус],"Возврат"))</x:f>
      </x:c>
      <x:c r="L63" s="11" t="str">
        <x:f>IF(A63="","",SUMIFS(Orders[Количество],Orders[Дата],"&gt;="&amp;'Настройки'!$B$4,Orders[Дата],"&lt;"&amp;('Настройки'!$B$5+1),Orders[SKU],A63,Orders[Статус],"Отменён"))</x:f>
      </x:c>
      <x:c r="M63" s="16" t="str">
        <x:f>IF(A63="","",IF(D63=0,"",E63/D63))</x:f>
      </x:c>
      <x:c r="N63" s="17" t="str">
        <x:f>IF(A63="","",IF(F63=0,"",G63/F63))</x:f>
      </x:c>
      <x:c r="O63" s="11" t="str">
        <x:f>IF(A63="","",SUMIFS(Stock[Остаток],Stock[SKU],A63))</x:f>
      </x:c>
      <x:c r="P63" s="11" t="str">
        <x:f>IF(OR(A63="",E63=""),"",COUNTIFS(Products[Выручка],"&gt;"&amp;E63)+COUNTIFS($E$5:E63,E63,$A$5:A63,"&lt;&gt;"))</x:f>
      </x:c>
      <x:c r="Q63" s="11" t="str">
        <x:f>IF(OR(A63="",G63=""),"",COUNTIFS(Products[Прибыль],"&gt;"&amp;G63)+COUNTIFS($G$5:G63,G63,$A$5:A63,"&lt;&gt;"))</x:f>
      </x:c>
      <x:c r="R63" s="11" t="str">
        <x:f>IF(OR(A63="",I63=""),"",COUNTIFS(Products[Маржа],"&gt;"&amp;I63)+COUNTIFS($I$5:I63,I63,$A$5:A63,"&lt;&gt;"))</x:f>
      </x:c>
      <x:c r="S63" s="11" t="str">
        <x:f>IF(OR(A63="",J63=""),"",COUNTIFS(Products[Наценка],"&gt;"&amp;J63)+COUNTIFS($J$5:J63,J63,$A$5:A63,"&lt;&gt;"))</x:f>
      </x:c>
      <x:c r="T63" s="11" t="str">
        <x:f>IF(OR(A63="",H63&lt;=0),"",COUNTIFS(Products[Убыток],"&gt;"&amp;H63)+COUNTIFS($H$5:H63,H63,$A$5:A63,"&lt;&gt;"))</x:f>
      </x:c>
      <x:c r="U63" s="11" t="str">
        <x:f>IF(OR(A63="",K63&lt;=0),"",COUNTIFS(Products[Возвраты шт.],"&gt;"&amp;K63)+COUNTIFS($K$5:K63,K63,$A$5:A63,"&lt;&gt;"))</x:f>
      </x:c>
      <x:c r="V63" s="11" t="str">
        <x:f>IF(OR(A63="",L63&lt;=0),"",COUNTIFS(Products[Отмены шт.],"&gt;"&amp;L63)+COUNTIFS($L$5:L63,L63,$A$5:A63,"&lt;&gt;"))</x:f>
      </x:c>
    </x:row>
    <x:row r="64" ht="23" customHeight="1">
      <x:c r="A64" s="51"/>
      <x:c r="B64" s="51"/>
      <x:c r="C64" s="51"/>
      <x:c r="D64" s="11" t="str">
        <x:f>IF(A64="","",SUMIFS(Orders[Продано шт.],Orders[Дата],"&gt;="&amp;'Настройки'!$B$4,Orders[Дата],"&lt;"&amp;('Настройки'!$B$5+1),Orders[SKU],A64))</x:f>
      </x:c>
      <x:c r="E64" s="16" t="str">
        <x:f>IF(A64="","",SUMIFS(Orders[Выручка],Orders[Дата],"&gt;="&amp;'Настройки'!$B$4,Orders[Дата],"&lt;"&amp;('Настройки'!$B$5+1),Orders[SKU],A64))</x:f>
      </x:c>
      <x:c r="F64" s="16" t="str">
        <x:f>IF(A64="","",SUMIFS(Orders[Себестоимость],Orders[Дата],"&gt;="&amp;'Настройки'!$B$4,Orders[Дата],"&lt;"&amp;('Настройки'!$B$5+1),Orders[SKU],A64))</x:f>
      </x:c>
      <x:c r="G64" s="16" t="str">
        <x:f>IF(A64="","",SUMIFS(Orders[Прибыль],Orders[Дата],"&gt;="&amp;'Настройки'!$B$4,Orders[Дата],"&lt;"&amp;('Настройки'!$B$5+1),Orders[SKU],A64))</x:f>
      </x:c>
      <x:c r="H64" s="16" t="str">
        <x:f>IF(A64="","",MAX(0,-G64))</x:f>
      </x:c>
      <x:c r="I64" s="17" t="str">
        <x:f>IF(A64="","",IF(E64=0,"",G64/E64))</x:f>
      </x:c>
      <x:c r="J64" s="17" t="str">
        <x:f>IF(A64="","",IF(F64=0,"",(E64-F64)/F64))</x:f>
      </x:c>
      <x:c r="K64" s="11" t="str">
        <x:f>IF(A64="","",SUMIFS(Orders[Количество],Orders[Дата],"&gt;="&amp;'Настройки'!$B$4,Orders[Дата],"&lt;"&amp;('Настройки'!$B$5+1),Orders[SKU],A64,Orders[Статус],"Возврат"))</x:f>
      </x:c>
      <x:c r="L64" s="11" t="str">
        <x:f>IF(A64="","",SUMIFS(Orders[Количество],Orders[Дата],"&gt;="&amp;'Настройки'!$B$4,Orders[Дата],"&lt;"&amp;('Настройки'!$B$5+1),Orders[SKU],A64,Orders[Статус],"Отменён"))</x:f>
      </x:c>
      <x:c r="M64" s="16" t="str">
        <x:f>IF(A64="","",IF(D64=0,"",E64/D64))</x:f>
      </x:c>
      <x:c r="N64" s="17" t="str">
        <x:f>IF(A64="","",IF(F64=0,"",G64/F64))</x:f>
      </x:c>
      <x:c r="O64" s="11" t="str">
        <x:f>IF(A64="","",SUMIFS(Stock[Остаток],Stock[SKU],A64))</x:f>
      </x:c>
      <x:c r="P64" s="11" t="str">
        <x:f>IF(OR(A64="",E64=""),"",COUNTIFS(Products[Выручка],"&gt;"&amp;E64)+COUNTIFS($E$5:E64,E64,$A$5:A64,"&lt;&gt;"))</x:f>
      </x:c>
      <x:c r="Q64" s="11" t="str">
        <x:f>IF(OR(A64="",G64=""),"",COUNTIFS(Products[Прибыль],"&gt;"&amp;G64)+COUNTIFS($G$5:G64,G64,$A$5:A64,"&lt;&gt;"))</x:f>
      </x:c>
      <x:c r="R64" s="11" t="str">
        <x:f>IF(OR(A64="",I64=""),"",COUNTIFS(Products[Маржа],"&gt;"&amp;I64)+COUNTIFS($I$5:I64,I64,$A$5:A64,"&lt;&gt;"))</x:f>
      </x:c>
      <x:c r="S64" s="11" t="str">
        <x:f>IF(OR(A64="",J64=""),"",COUNTIFS(Products[Наценка],"&gt;"&amp;J64)+COUNTIFS($J$5:J64,J64,$A$5:A64,"&lt;&gt;"))</x:f>
      </x:c>
      <x:c r="T64" s="11" t="str">
        <x:f>IF(OR(A64="",H64&lt;=0),"",COUNTIFS(Products[Убыток],"&gt;"&amp;H64)+COUNTIFS($H$5:H64,H64,$A$5:A64,"&lt;&gt;"))</x:f>
      </x:c>
      <x:c r="U64" s="11" t="str">
        <x:f>IF(OR(A64="",K64&lt;=0),"",COUNTIFS(Products[Возвраты шт.],"&gt;"&amp;K64)+COUNTIFS($K$5:K64,K64,$A$5:A64,"&lt;&gt;"))</x:f>
      </x:c>
      <x:c r="V64" s="11" t="str">
        <x:f>IF(OR(A64="",L64&lt;=0),"",COUNTIFS(Products[Отмены шт.],"&gt;"&amp;L64)+COUNTIFS($L$5:L64,L64,$A$5:A64,"&lt;&gt;"))</x:f>
      </x:c>
    </x:row>
    <x:row r="65" ht="23" customHeight="1">
      <x:c r="A65" s="51"/>
      <x:c r="B65" s="51"/>
      <x:c r="C65" s="51"/>
      <x:c r="D65" s="11" t="str">
        <x:f>IF(A65="","",SUMIFS(Orders[Продано шт.],Orders[Дата],"&gt;="&amp;'Настройки'!$B$4,Orders[Дата],"&lt;"&amp;('Настройки'!$B$5+1),Orders[SKU],A65))</x:f>
      </x:c>
      <x:c r="E65" s="16" t="str">
        <x:f>IF(A65="","",SUMIFS(Orders[Выручка],Orders[Дата],"&gt;="&amp;'Настройки'!$B$4,Orders[Дата],"&lt;"&amp;('Настройки'!$B$5+1),Orders[SKU],A65))</x:f>
      </x:c>
      <x:c r="F65" s="16" t="str">
        <x:f>IF(A65="","",SUMIFS(Orders[Себестоимость],Orders[Дата],"&gt;="&amp;'Настройки'!$B$4,Orders[Дата],"&lt;"&amp;('Настройки'!$B$5+1),Orders[SKU],A65))</x:f>
      </x:c>
      <x:c r="G65" s="16" t="str">
        <x:f>IF(A65="","",SUMIFS(Orders[Прибыль],Orders[Дата],"&gt;="&amp;'Настройки'!$B$4,Orders[Дата],"&lt;"&amp;('Настройки'!$B$5+1),Orders[SKU],A65))</x:f>
      </x:c>
      <x:c r="H65" s="16" t="str">
        <x:f>IF(A65="","",MAX(0,-G65))</x:f>
      </x:c>
      <x:c r="I65" s="17" t="str">
        <x:f>IF(A65="","",IF(E65=0,"",G65/E65))</x:f>
      </x:c>
      <x:c r="J65" s="17" t="str">
        <x:f>IF(A65="","",IF(F65=0,"",(E65-F65)/F65))</x:f>
      </x:c>
      <x:c r="K65" s="11" t="str">
        <x:f>IF(A65="","",SUMIFS(Orders[Количество],Orders[Дата],"&gt;="&amp;'Настройки'!$B$4,Orders[Дата],"&lt;"&amp;('Настройки'!$B$5+1),Orders[SKU],A65,Orders[Статус],"Возврат"))</x:f>
      </x:c>
      <x:c r="L65" s="11" t="str">
        <x:f>IF(A65="","",SUMIFS(Orders[Количество],Orders[Дата],"&gt;="&amp;'Настройки'!$B$4,Orders[Дата],"&lt;"&amp;('Настройки'!$B$5+1),Orders[SKU],A65,Orders[Статус],"Отменён"))</x:f>
      </x:c>
      <x:c r="M65" s="16" t="str">
        <x:f>IF(A65="","",IF(D65=0,"",E65/D65))</x:f>
      </x:c>
      <x:c r="N65" s="17" t="str">
        <x:f>IF(A65="","",IF(F65=0,"",G65/F65))</x:f>
      </x:c>
      <x:c r="O65" s="11" t="str">
        <x:f>IF(A65="","",SUMIFS(Stock[Остаток],Stock[SKU],A65))</x:f>
      </x:c>
      <x:c r="P65" s="11" t="str">
        <x:f>IF(OR(A65="",E65=""),"",COUNTIFS(Products[Выручка],"&gt;"&amp;E65)+COUNTIFS($E$5:E65,E65,$A$5:A65,"&lt;&gt;"))</x:f>
      </x:c>
      <x:c r="Q65" s="11" t="str">
        <x:f>IF(OR(A65="",G65=""),"",COUNTIFS(Products[Прибыль],"&gt;"&amp;G65)+COUNTIFS($G$5:G65,G65,$A$5:A65,"&lt;&gt;"))</x:f>
      </x:c>
      <x:c r="R65" s="11" t="str">
        <x:f>IF(OR(A65="",I65=""),"",COUNTIFS(Products[Маржа],"&gt;"&amp;I65)+COUNTIFS($I$5:I65,I65,$A$5:A65,"&lt;&gt;"))</x:f>
      </x:c>
      <x:c r="S65" s="11" t="str">
        <x:f>IF(OR(A65="",J65=""),"",COUNTIFS(Products[Наценка],"&gt;"&amp;J65)+COUNTIFS($J$5:J65,J65,$A$5:A65,"&lt;&gt;"))</x:f>
      </x:c>
      <x:c r="T65" s="11" t="str">
        <x:f>IF(OR(A65="",H65&lt;=0),"",COUNTIFS(Products[Убыток],"&gt;"&amp;H65)+COUNTIFS($H$5:H65,H65,$A$5:A65,"&lt;&gt;"))</x:f>
      </x:c>
      <x:c r="U65" s="11" t="str">
        <x:f>IF(OR(A65="",K65&lt;=0),"",COUNTIFS(Products[Возвраты шт.],"&gt;"&amp;K65)+COUNTIFS($K$5:K65,K65,$A$5:A65,"&lt;&gt;"))</x:f>
      </x:c>
      <x:c r="V65" s="11" t="str">
        <x:f>IF(OR(A65="",L65&lt;=0),"",COUNTIFS(Products[Отмены шт.],"&gt;"&amp;L65)+COUNTIFS($L$5:L65,L65,$A$5:A65,"&lt;&gt;"))</x:f>
      </x:c>
    </x:row>
    <x:row r="66" ht="23" customHeight="1">
      <x:c r="A66" s="51"/>
      <x:c r="B66" s="51"/>
      <x:c r="C66" s="51"/>
      <x:c r="D66" s="11" t="str">
        <x:f>IF(A66="","",SUMIFS(Orders[Продано шт.],Orders[Дата],"&gt;="&amp;'Настройки'!$B$4,Orders[Дата],"&lt;"&amp;('Настройки'!$B$5+1),Orders[SKU],A66))</x:f>
      </x:c>
      <x:c r="E66" s="16" t="str">
        <x:f>IF(A66="","",SUMIFS(Orders[Выручка],Orders[Дата],"&gt;="&amp;'Настройки'!$B$4,Orders[Дата],"&lt;"&amp;('Настройки'!$B$5+1),Orders[SKU],A66))</x:f>
      </x:c>
      <x:c r="F66" s="16" t="str">
        <x:f>IF(A66="","",SUMIFS(Orders[Себестоимость],Orders[Дата],"&gt;="&amp;'Настройки'!$B$4,Orders[Дата],"&lt;"&amp;('Настройки'!$B$5+1),Orders[SKU],A66))</x:f>
      </x:c>
      <x:c r="G66" s="16" t="str">
        <x:f>IF(A66="","",SUMIFS(Orders[Прибыль],Orders[Дата],"&gt;="&amp;'Настройки'!$B$4,Orders[Дата],"&lt;"&amp;('Настройки'!$B$5+1),Orders[SKU],A66))</x:f>
      </x:c>
      <x:c r="H66" s="16" t="str">
        <x:f>IF(A66="","",MAX(0,-G66))</x:f>
      </x:c>
      <x:c r="I66" s="17" t="str">
        <x:f>IF(A66="","",IF(E66=0,"",G66/E66))</x:f>
      </x:c>
      <x:c r="J66" s="17" t="str">
        <x:f>IF(A66="","",IF(F66=0,"",(E66-F66)/F66))</x:f>
      </x:c>
      <x:c r="K66" s="11" t="str">
        <x:f>IF(A66="","",SUMIFS(Orders[Количество],Orders[Дата],"&gt;="&amp;'Настройки'!$B$4,Orders[Дата],"&lt;"&amp;('Настройки'!$B$5+1),Orders[SKU],A66,Orders[Статус],"Возврат"))</x:f>
      </x:c>
      <x:c r="L66" s="11" t="str">
        <x:f>IF(A66="","",SUMIFS(Orders[Количество],Orders[Дата],"&gt;="&amp;'Настройки'!$B$4,Orders[Дата],"&lt;"&amp;('Настройки'!$B$5+1),Orders[SKU],A66,Orders[Статус],"Отменён"))</x:f>
      </x:c>
      <x:c r="M66" s="16" t="str">
        <x:f>IF(A66="","",IF(D66=0,"",E66/D66))</x:f>
      </x:c>
      <x:c r="N66" s="17" t="str">
        <x:f>IF(A66="","",IF(F66=0,"",G66/F66))</x:f>
      </x:c>
      <x:c r="O66" s="11" t="str">
        <x:f>IF(A66="","",SUMIFS(Stock[Остаток],Stock[SKU],A66))</x:f>
      </x:c>
      <x:c r="P66" s="11" t="str">
        <x:f>IF(OR(A66="",E66=""),"",COUNTIFS(Products[Выручка],"&gt;"&amp;E66)+COUNTIFS($E$5:E66,E66,$A$5:A66,"&lt;&gt;"))</x:f>
      </x:c>
      <x:c r="Q66" s="11" t="str">
        <x:f>IF(OR(A66="",G66=""),"",COUNTIFS(Products[Прибыль],"&gt;"&amp;G66)+COUNTIFS($G$5:G66,G66,$A$5:A66,"&lt;&gt;"))</x:f>
      </x:c>
      <x:c r="R66" s="11" t="str">
        <x:f>IF(OR(A66="",I66=""),"",COUNTIFS(Products[Маржа],"&gt;"&amp;I66)+COUNTIFS($I$5:I66,I66,$A$5:A66,"&lt;&gt;"))</x:f>
      </x:c>
      <x:c r="S66" s="11" t="str">
        <x:f>IF(OR(A66="",J66=""),"",COUNTIFS(Products[Наценка],"&gt;"&amp;J66)+COUNTIFS($J$5:J66,J66,$A$5:A66,"&lt;&gt;"))</x:f>
      </x:c>
      <x:c r="T66" s="11" t="str">
        <x:f>IF(OR(A66="",H66&lt;=0),"",COUNTIFS(Products[Убыток],"&gt;"&amp;H66)+COUNTIFS($H$5:H66,H66,$A$5:A66,"&lt;&gt;"))</x:f>
      </x:c>
      <x:c r="U66" s="11" t="str">
        <x:f>IF(OR(A66="",K66&lt;=0),"",COUNTIFS(Products[Возвраты шт.],"&gt;"&amp;K66)+COUNTIFS($K$5:K66,K66,$A$5:A66,"&lt;&gt;"))</x:f>
      </x:c>
      <x:c r="V66" s="11" t="str">
        <x:f>IF(OR(A66="",L66&lt;=0),"",COUNTIFS(Products[Отмены шт.],"&gt;"&amp;L66)+COUNTIFS($L$5:L66,L66,$A$5:A66,"&lt;&gt;"))</x:f>
      </x:c>
    </x:row>
    <x:row r="67" ht="23" customHeight="1">
      <x:c r="A67" s="51"/>
      <x:c r="B67" s="51"/>
      <x:c r="C67" s="51"/>
      <x:c r="D67" s="11" t="str">
        <x:f>IF(A67="","",SUMIFS(Orders[Продано шт.],Orders[Дата],"&gt;="&amp;'Настройки'!$B$4,Orders[Дата],"&lt;"&amp;('Настройки'!$B$5+1),Orders[SKU],A67))</x:f>
      </x:c>
      <x:c r="E67" s="16" t="str">
        <x:f>IF(A67="","",SUMIFS(Orders[Выручка],Orders[Дата],"&gt;="&amp;'Настройки'!$B$4,Orders[Дата],"&lt;"&amp;('Настройки'!$B$5+1),Orders[SKU],A67))</x:f>
      </x:c>
      <x:c r="F67" s="16" t="str">
        <x:f>IF(A67="","",SUMIFS(Orders[Себестоимость],Orders[Дата],"&gt;="&amp;'Настройки'!$B$4,Orders[Дата],"&lt;"&amp;('Настройки'!$B$5+1),Orders[SKU],A67))</x:f>
      </x:c>
      <x:c r="G67" s="16" t="str">
        <x:f>IF(A67="","",SUMIFS(Orders[Прибыль],Orders[Дата],"&gt;="&amp;'Настройки'!$B$4,Orders[Дата],"&lt;"&amp;('Настройки'!$B$5+1),Orders[SKU],A67))</x:f>
      </x:c>
      <x:c r="H67" s="16" t="str">
        <x:f>IF(A67="","",MAX(0,-G67))</x:f>
      </x:c>
      <x:c r="I67" s="17" t="str">
        <x:f>IF(A67="","",IF(E67=0,"",G67/E67))</x:f>
      </x:c>
      <x:c r="J67" s="17" t="str">
        <x:f>IF(A67="","",IF(F67=0,"",(E67-F67)/F67))</x:f>
      </x:c>
      <x:c r="K67" s="11" t="str">
        <x:f>IF(A67="","",SUMIFS(Orders[Количество],Orders[Дата],"&gt;="&amp;'Настройки'!$B$4,Orders[Дата],"&lt;"&amp;('Настройки'!$B$5+1),Orders[SKU],A67,Orders[Статус],"Возврат"))</x:f>
      </x:c>
      <x:c r="L67" s="11" t="str">
        <x:f>IF(A67="","",SUMIFS(Orders[Количество],Orders[Дата],"&gt;="&amp;'Настройки'!$B$4,Orders[Дата],"&lt;"&amp;('Настройки'!$B$5+1),Orders[SKU],A67,Orders[Статус],"Отменён"))</x:f>
      </x:c>
      <x:c r="M67" s="16" t="str">
        <x:f>IF(A67="","",IF(D67=0,"",E67/D67))</x:f>
      </x:c>
      <x:c r="N67" s="17" t="str">
        <x:f>IF(A67="","",IF(F67=0,"",G67/F67))</x:f>
      </x:c>
      <x:c r="O67" s="11" t="str">
        <x:f>IF(A67="","",SUMIFS(Stock[Остаток],Stock[SKU],A67))</x:f>
      </x:c>
      <x:c r="P67" s="11" t="str">
        <x:f>IF(OR(A67="",E67=""),"",COUNTIFS(Products[Выручка],"&gt;"&amp;E67)+COUNTIFS($E$5:E67,E67,$A$5:A67,"&lt;&gt;"))</x:f>
      </x:c>
      <x:c r="Q67" s="11" t="str">
        <x:f>IF(OR(A67="",G67=""),"",COUNTIFS(Products[Прибыль],"&gt;"&amp;G67)+COUNTIFS($G$5:G67,G67,$A$5:A67,"&lt;&gt;"))</x:f>
      </x:c>
      <x:c r="R67" s="11" t="str">
        <x:f>IF(OR(A67="",I67=""),"",COUNTIFS(Products[Маржа],"&gt;"&amp;I67)+COUNTIFS($I$5:I67,I67,$A$5:A67,"&lt;&gt;"))</x:f>
      </x:c>
      <x:c r="S67" s="11" t="str">
        <x:f>IF(OR(A67="",J67=""),"",COUNTIFS(Products[Наценка],"&gt;"&amp;J67)+COUNTIFS($J$5:J67,J67,$A$5:A67,"&lt;&gt;"))</x:f>
      </x:c>
      <x:c r="T67" s="11" t="str">
        <x:f>IF(OR(A67="",H67&lt;=0),"",COUNTIFS(Products[Убыток],"&gt;"&amp;H67)+COUNTIFS($H$5:H67,H67,$A$5:A67,"&lt;&gt;"))</x:f>
      </x:c>
      <x:c r="U67" s="11" t="str">
        <x:f>IF(OR(A67="",K67&lt;=0),"",COUNTIFS(Products[Возвраты шт.],"&gt;"&amp;K67)+COUNTIFS($K$5:K67,K67,$A$5:A67,"&lt;&gt;"))</x:f>
      </x:c>
      <x:c r="V67" s="11" t="str">
        <x:f>IF(OR(A67="",L67&lt;=0),"",COUNTIFS(Products[Отмены шт.],"&gt;"&amp;L67)+COUNTIFS($L$5:L67,L67,$A$5:A67,"&lt;&gt;"))</x:f>
      </x:c>
    </x:row>
    <x:row r="68" ht="23" customHeight="1">
      <x:c r="A68" s="51"/>
      <x:c r="B68" s="51"/>
      <x:c r="C68" s="51"/>
      <x:c r="D68" s="11" t="str">
        <x:f>IF(A68="","",SUMIFS(Orders[Продано шт.],Orders[Дата],"&gt;="&amp;'Настройки'!$B$4,Orders[Дата],"&lt;"&amp;('Настройки'!$B$5+1),Orders[SKU],A68))</x:f>
      </x:c>
      <x:c r="E68" s="16" t="str">
        <x:f>IF(A68="","",SUMIFS(Orders[Выручка],Orders[Дата],"&gt;="&amp;'Настройки'!$B$4,Orders[Дата],"&lt;"&amp;('Настройки'!$B$5+1),Orders[SKU],A68))</x:f>
      </x:c>
      <x:c r="F68" s="16" t="str">
        <x:f>IF(A68="","",SUMIFS(Orders[Себестоимость],Orders[Дата],"&gt;="&amp;'Настройки'!$B$4,Orders[Дата],"&lt;"&amp;('Настройки'!$B$5+1),Orders[SKU],A68))</x:f>
      </x:c>
      <x:c r="G68" s="16" t="str">
        <x:f>IF(A68="","",SUMIFS(Orders[Прибыль],Orders[Дата],"&gt;="&amp;'Настройки'!$B$4,Orders[Дата],"&lt;"&amp;('Настройки'!$B$5+1),Orders[SKU],A68))</x:f>
      </x:c>
      <x:c r="H68" s="16" t="str">
        <x:f>IF(A68="","",MAX(0,-G68))</x:f>
      </x:c>
      <x:c r="I68" s="17" t="str">
        <x:f>IF(A68="","",IF(E68=0,"",G68/E68))</x:f>
      </x:c>
      <x:c r="J68" s="17" t="str">
        <x:f>IF(A68="","",IF(F68=0,"",(E68-F68)/F68))</x:f>
      </x:c>
      <x:c r="K68" s="11" t="str">
        <x:f>IF(A68="","",SUMIFS(Orders[Количество],Orders[Дата],"&gt;="&amp;'Настройки'!$B$4,Orders[Дата],"&lt;"&amp;('Настройки'!$B$5+1),Orders[SKU],A68,Orders[Статус],"Возврат"))</x:f>
      </x:c>
      <x:c r="L68" s="11" t="str">
        <x:f>IF(A68="","",SUMIFS(Orders[Количество],Orders[Дата],"&gt;="&amp;'Настройки'!$B$4,Orders[Дата],"&lt;"&amp;('Настройки'!$B$5+1),Orders[SKU],A68,Orders[Статус],"Отменён"))</x:f>
      </x:c>
      <x:c r="M68" s="16" t="str">
        <x:f>IF(A68="","",IF(D68=0,"",E68/D68))</x:f>
      </x:c>
      <x:c r="N68" s="17" t="str">
        <x:f>IF(A68="","",IF(F68=0,"",G68/F68))</x:f>
      </x:c>
      <x:c r="O68" s="11" t="str">
        <x:f>IF(A68="","",SUMIFS(Stock[Остаток],Stock[SKU],A68))</x:f>
      </x:c>
      <x:c r="P68" s="11" t="str">
        <x:f>IF(OR(A68="",E68=""),"",COUNTIFS(Products[Выручка],"&gt;"&amp;E68)+COUNTIFS($E$5:E68,E68,$A$5:A68,"&lt;&gt;"))</x:f>
      </x:c>
      <x:c r="Q68" s="11" t="str">
        <x:f>IF(OR(A68="",G68=""),"",COUNTIFS(Products[Прибыль],"&gt;"&amp;G68)+COUNTIFS($G$5:G68,G68,$A$5:A68,"&lt;&gt;"))</x:f>
      </x:c>
      <x:c r="R68" s="11" t="str">
        <x:f>IF(OR(A68="",I68=""),"",COUNTIFS(Products[Маржа],"&gt;"&amp;I68)+COUNTIFS($I$5:I68,I68,$A$5:A68,"&lt;&gt;"))</x:f>
      </x:c>
      <x:c r="S68" s="11" t="str">
        <x:f>IF(OR(A68="",J68=""),"",COUNTIFS(Products[Наценка],"&gt;"&amp;J68)+COUNTIFS($J$5:J68,J68,$A$5:A68,"&lt;&gt;"))</x:f>
      </x:c>
      <x:c r="T68" s="11" t="str">
        <x:f>IF(OR(A68="",H68&lt;=0),"",COUNTIFS(Products[Убыток],"&gt;"&amp;H68)+COUNTIFS($H$5:H68,H68,$A$5:A68,"&lt;&gt;"))</x:f>
      </x:c>
      <x:c r="U68" s="11" t="str">
        <x:f>IF(OR(A68="",K68&lt;=0),"",COUNTIFS(Products[Возвраты шт.],"&gt;"&amp;K68)+COUNTIFS($K$5:K68,K68,$A$5:A68,"&lt;&gt;"))</x:f>
      </x:c>
      <x:c r="V68" s="11" t="str">
        <x:f>IF(OR(A68="",L68&lt;=0),"",COUNTIFS(Products[Отмены шт.],"&gt;"&amp;L68)+COUNTIFS($L$5:L68,L68,$A$5:A68,"&lt;&gt;"))</x:f>
      </x:c>
    </x:row>
    <x:row r="69" ht="23" customHeight="1">
      <x:c r="A69" s="51"/>
      <x:c r="B69" s="51"/>
      <x:c r="C69" s="51"/>
      <x:c r="D69" s="11" t="str">
        <x:f>IF(A69="","",SUMIFS(Orders[Продано шт.],Orders[Дата],"&gt;="&amp;'Настройки'!$B$4,Orders[Дата],"&lt;"&amp;('Настройки'!$B$5+1),Orders[SKU],A69))</x:f>
      </x:c>
      <x:c r="E69" s="16" t="str">
        <x:f>IF(A69="","",SUMIFS(Orders[Выручка],Orders[Дата],"&gt;="&amp;'Настройки'!$B$4,Orders[Дата],"&lt;"&amp;('Настройки'!$B$5+1),Orders[SKU],A69))</x:f>
      </x:c>
      <x:c r="F69" s="16" t="str">
        <x:f>IF(A69="","",SUMIFS(Orders[Себестоимость],Orders[Дата],"&gt;="&amp;'Настройки'!$B$4,Orders[Дата],"&lt;"&amp;('Настройки'!$B$5+1),Orders[SKU],A69))</x:f>
      </x:c>
      <x:c r="G69" s="16" t="str">
        <x:f>IF(A69="","",SUMIFS(Orders[Прибыль],Orders[Дата],"&gt;="&amp;'Настройки'!$B$4,Orders[Дата],"&lt;"&amp;('Настройки'!$B$5+1),Orders[SKU],A69))</x:f>
      </x:c>
      <x:c r="H69" s="16" t="str">
        <x:f>IF(A69="","",MAX(0,-G69))</x:f>
      </x:c>
      <x:c r="I69" s="17" t="str">
        <x:f>IF(A69="","",IF(E69=0,"",G69/E69))</x:f>
      </x:c>
      <x:c r="J69" s="17" t="str">
        <x:f>IF(A69="","",IF(F69=0,"",(E69-F69)/F69))</x:f>
      </x:c>
      <x:c r="K69" s="11" t="str">
        <x:f>IF(A69="","",SUMIFS(Orders[Количество],Orders[Дата],"&gt;="&amp;'Настройки'!$B$4,Orders[Дата],"&lt;"&amp;('Настройки'!$B$5+1),Orders[SKU],A69,Orders[Статус],"Возврат"))</x:f>
      </x:c>
      <x:c r="L69" s="11" t="str">
        <x:f>IF(A69="","",SUMIFS(Orders[Количество],Orders[Дата],"&gt;="&amp;'Настройки'!$B$4,Orders[Дата],"&lt;"&amp;('Настройки'!$B$5+1),Orders[SKU],A69,Orders[Статус],"Отменён"))</x:f>
      </x:c>
      <x:c r="M69" s="16" t="str">
        <x:f>IF(A69="","",IF(D69=0,"",E69/D69))</x:f>
      </x:c>
      <x:c r="N69" s="17" t="str">
        <x:f>IF(A69="","",IF(F69=0,"",G69/F69))</x:f>
      </x:c>
      <x:c r="O69" s="11" t="str">
        <x:f>IF(A69="","",SUMIFS(Stock[Остаток],Stock[SKU],A69))</x:f>
      </x:c>
      <x:c r="P69" s="11" t="str">
        <x:f>IF(OR(A69="",E69=""),"",COUNTIFS(Products[Выручка],"&gt;"&amp;E69)+COUNTIFS($E$5:E69,E69,$A$5:A69,"&lt;&gt;"))</x:f>
      </x:c>
      <x:c r="Q69" s="11" t="str">
        <x:f>IF(OR(A69="",G69=""),"",COUNTIFS(Products[Прибыль],"&gt;"&amp;G69)+COUNTIFS($G$5:G69,G69,$A$5:A69,"&lt;&gt;"))</x:f>
      </x:c>
      <x:c r="R69" s="11" t="str">
        <x:f>IF(OR(A69="",I69=""),"",COUNTIFS(Products[Маржа],"&gt;"&amp;I69)+COUNTIFS($I$5:I69,I69,$A$5:A69,"&lt;&gt;"))</x:f>
      </x:c>
      <x:c r="S69" s="11" t="str">
        <x:f>IF(OR(A69="",J69=""),"",COUNTIFS(Products[Наценка],"&gt;"&amp;J69)+COUNTIFS($J$5:J69,J69,$A$5:A69,"&lt;&gt;"))</x:f>
      </x:c>
      <x:c r="T69" s="11" t="str">
        <x:f>IF(OR(A69="",H69&lt;=0),"",COUNTIFS(Products[Убыток],"&gt;"&amp;H69)+COUNTIFS($H$5:H69,H69,$A$5:A69,"&lt;&gt;"))</x:f>
      </x:c>
      <x:c r="U69" s="11" t="str">
        <x:f>IF(OR(A69="",K69&lt;=0),"",COUNTIFS(Products[Возвраты шт.],"&gt;"&amp;K69)+COUNTIFS($K$5:K69,K69,$A$5:A69,"&lt;&gt;"))</x:f>
      </x:c>
      <x:c r="V69" s="11" t="str">
        <x:f>IF(OR(A69="",L69&lt;=0),"",COUNTIFS(Products[Отмены шт.],"&gt;"&amp;L69)+COUNTIFS($L$5:L69,L69,$A$5:A69,"&lt;&gt;"))</x:f>
      </x:c>
    </x:row>
    <x:row r="70" ht="23" customHeight="1">
      <x:c r="A70" s="51"/>
      <x:c r="B70" s="51"/>
      <x:c r="C70" s="51"/>
      <x:c r="D70" s="11" t="str">
        <x:f>IF(A70="","",SUMIFS(Orders[Продано шт.],Orders[Дата],"&gt;="&amp;'Настройки'!$B$4,Orders[Дата],"&lt;"&amp;('Настройки'!$B$5+1),Orders[SKU],A70))</x:f>
      </x:c>
      <x:c r="E70" s="16" t="str">
        <x:f>IF(A70="","",SUMIFS(Orders[Выручка],Orders[Дата],"&gt;="&amp;'Настройки'!$B$4,Orders[Дата],"&lt;"&amp;('Настройки'!$B$5+1),Orders[SKU],A70))</x:f>
      </x:c>
      <x:c r="F70" s="16" t="str">
        <x:f>IF(A70="","",SUMIFS(Orders[Себестоимость],Orders[Дата],"&gt;="&amp;'Настройки'!$B$4,Orders[Дата],"&lt;"&amp;('Настройки'!$B$5+1),Orders[SKU],A70))</x:f>
      </x:c>
      <x:c r="G70" s="16" t="str">
        <x:f>IF(A70="","",SUMIFS(Orders[Прибыль],Orders[Дата],"&gt;="&amp;'Настройки'!$B$4,Orders[Дата],"&lt;"&amp;('Настройки'!$B$5+1),Orders[SKU],A70))</x:f>
      </x:c>
      <x:c r="H70" s="16" t="str">
        <x:f>IF(A70="","",MAX(0,-G70))</x:f>
      </x:c>
      <x:c r="I70" s="17" t="str">
        <x:f>IF(A70="","",IF(E70=0,"",G70/E70))</x:f>
      </x:c>
      <x:c r="J70" s="17" t="str">
        <x:f>IF(A70="","",IF(F70=0,"",(E70-F70)/F70))</x:f>
      </x:c>
      <x:c r="K70" s="11" t="str">
        <x:f>IF(A70="","",SUMIFS(Orders[Количество],Orders[Дата],"&gt;="&amp;'Настройки'!$B$4,Orders[Дата],"&lt;"&amp;('Настройки'!$B$5+1),Orders[SKU],A70,Orders[Статус],"Возврат"))</x:f>
      </x:c>
      <x:c r="L70" s="11" t="str">
        <x:f>IF(A70="","",SUMIFS(Orders[Количество],Orders[Дата],"&gt;="&amp;'Настройки'!$B$4,Orders[Дата],"&lt;"&amp;('Настройки'!$B$5+1),Orders[SKU],A70,Orders[Статус],"Отменён"))</x:f>
      </x:c>
      <x:c r="M70" s="16" t="str">
        <x:f>IF(A70="","",IF(D70=0,"",E70/D70))</x:f>
      </x:c>
      <x:c r="N70" s="17" t="str">
        <x:f>IF(A70="","",IF(F70=0,"",G70/F70))</x:f>
      </x:c>
      <x:c r="O70" s="11" t="str">
        <x:f>IF(A70="","",SUMIFS(Stock[Остаток],Stock[SKU],A70))</x:f>
      </x:c>
      <x:c r="P70" s="11" t="str">
        <x:f>IF(OR(A70="",E70=""),"",COUNTIFS(Products[Выручка],"&gt;"&amp;E70)+COUNTIFS($E$5:E70,E70,$A$5:A70,"&lt;&gt;"))</x:f>
      </x:c>
      <x:c r="Q70" s="11" t="str">
        <x:f>IF(OR(A70="",G70=""),"",COUNTIFS(Products[Прибыль],"&gt;"&amp;G70)+COUNTIFS($G$5:G70,G70,$A$5:A70,"&lt;&gt;"))</x:f>
      </x:c>
      <x:c r="R70" s="11" t="str">
        <x:f>IF(OR(A70="",I70=""),"",COUNTIFS(Products[Маржа],"&gt;"&amp;I70)+COUNTIFS($I$5:I70,I70,$A$5:A70,"&lt;&gt;"))</x:f>
      </x:c>
      <x:c r="S70" s="11" t="str">
        <x:f>IF(OR(A70="",J70=""),"",COUNTIFS(Products[Наценка],"&gt;"&amp;J70)+COUNTIFS($J$5:J70,J70,$A$5:A70,"&lt;&gt;"))</x:f>
      </x:c>
      <x:c r="T70" s="11" t="str">
        <x:f>IF(OR(A70="",H70&lt;=0),"",COUNTIFS(Products[Убыток],"&gt;"&amp;H70)+COUNTIFS($H$5:H70,H70,$A$5:A70,"&lt;&gt;"))</x:f>
      </x:c>
      <x:c r="U70" s="11" t="str">
        <x:f>IF(OR(A70="",K70&lt;=0),"",COUNTIFS(Products[Возвраты шт.],"&gt;"&amp;K70)+COUNTIFS($K$5:K70,K70,$A$5:A70,"&lt;&gt;"))</x:f>
      </x:c>
      <x:c r="V70" s="11" t="str">
        <x:f>IF(OR(A70="",L70&lt;=0),"",COUNTIFS(Products[Отмены шт.],"&gt;"&amp;L70)+COUNTIFS($L$5:L70,L70,$A$5:A70,"&lt;&gt;"))</x:f>
      </x:c>
    </x:row>
    <x:row r="71" ht="23" customHeight="1">
      <x:c r="A71" s="51"/>
      <x:c r="B71" s="51"/>
      <x:c r="C71" s="51"/>
      <x:c r="D71" s="11" t="str">
        <x:f>IF(A71="","",SUMIFS(Orders[Продано шт.],Orders[Дата],"&gt;="&amp;'Настройки'!$B$4,Orders[Дата],"&lt;"&amp;('Настройки'!$B$5+1),Orders[SKU],A71))</x:f>
      </x:c>
      <x:c r="E71" s="16" t="str">
        <x:f>IF(A71="","",SUMIFS(Orders[Выручка],Orders[Дата],"&gt;="&amp;'Настройки'!$B$4,Orders[Дата],"&lt;"&amp;('Настройки'!$B$5+1),Orders[SKU],A71))</x:f>
      </x:c>
      <x:c r="F71" s="16" t="str">
        <x:f>IF(A71="","",SUMIFS(Orders[Себестоимость],Orders[Дата],"&gt;="&amp;'Настройки'!$B$4,Orders[Дата],"&lt;"&amp;('Настройки'!$B$5+1),Orders[SKU],A71))</x:f>
      </x:c>
      <x:c r="G71" s="16" t="str">
        <x:f>IF(A71="","",SUMIFS(Orders[Прибыль],Orders[Дата],"&gt;="&amp;'Настройки'!$B$4,Orders[Дата],"&lt;"&amp;('Настройки'!$B$5+1),Orders[SKU],A71))</x:f>
      </x:c>
      <x:c r="H71" s="16" t="str">
        <x:f>IF(A71="","",MAX(0,-G71))</x:f>
      </x:c>
      <x:c r="I71" s="17" t="str">
        <x:f>IF(A71="","",IF(E71=0,"",G71/E71))</x:f>
      </x:c>
      <x:c r="J71" s="17" t="str">
        <x:f>IF(A71="","",IF(F71=0,"",(E71-F71)/F71))</x:f>
      </x:c>
      <x:c r="K71" s="11" t="str">
        <x:f>IF(A71="","",SUMIFS(Orders[Количество],Orders[Дата],"&gt;="&amp;'Настройки'!$B$4,Orders[Дата],"&lt;"&amp;('Настройки'!$B$5+1),Orders[SKU],A71,Orders[Статус],"Возврат"))</x:f>
      </x:c>
      <x:c r="L71" s="11" t="str">
        <x:f>IF(A71="","",SUMIFS(Orders[Количество],Orders[Дата],"&gt;="&amp;'Настройки'!$B$4,Orders[Дата],"&lt;"&amp;('Настройки'!$B$5+1),Orders[SKU],A71,Orders[Статус],"Отменён"))</x:f>
      </x:c>
      <x:c r="M71" s="16" t="str">
        <x:f>IF(A71="","",IF(D71=0,"",E71/D71))</x:f>
      </x:c>
      <x:c r="N71" s="17" t="str">
        <x:f>IF(A71="","",IF(F71=0,"",G71/F71))</x:f>
      </x:c>
      <x:c r="O71" s="11" t="str">
        <x:f>IF(A71="","",SUMIFS(Stock[Остаток],Stock[SKU],A71))</x:f>
      </x:c>
      <x:c r="P71" s="11" t="str">
        <x:f>IF(OR(A71="",E71=""),"",COUNTIFS(Products[Выручка],"&gt;"&amp;E71)+COUNTIFS($E$5:E71,E71,$A$5:A71,"&lt;&gt;"))</x:f>
      </x:c>
      <x:c r="Q71" s="11" t="str">
        <x:f>IF(OR(A71="",G71=""),"",COUNTIFS(Products[Прибыль],"&gt;"&amp;G71)+COUNTIFS($G$5:G71,G71,$A$5:A71,"&lt;&gt;"))</x:f>
      </x:c>
      <x:c r="R71" s="11" t="str">
        <x:f>IF(OR(A71="",I71=""),"",COUNTIFS(Products[Маржа],"&gt;"&amp;I71)+COUNTIFS($I$5:I71,I71,$A$5:A71,"&lt;&gt;"))</x:f>
      </x:c>
      <x:c r="S71" s="11" t="str">
        <x:f>IF(OR(A71="",J71=""),"",COUNTIFS(Products[Наценка],"&gt;"&amp;J71)+COUNTIFS($J$5:J71,J71,$A$5:A71,"&lt;&gt;"))</x:f>
      </x:c>
      <x:c r="T71" s="11" t="str">
        <x:f>IF(OR(A71="",H71&lt;=0),"",COUNTIFS(Products[Убыток],"&gt;"&amp;H71)+COUNTIFS($H$5:H71,H71,$A$5:A71,"&lt;&gt;"))</x:f>
      </x:c>
      <x:c r="U71" s="11" t="str">
        <x:f>IF(OR(A71="",K71&lt;=0),"",COUNTIFS(Products[Возвраты шт.],"&gt;"&amp;K71)+COUNTIFS($K$5:K71,K71,$A$5:A71,"&lt;&gt;"))</x:f>
      </x:c>
      <x:c r="V71" s="11" t="str">
        <x:f>IF(OR(A71="",L71&lt;=0),"",COUNTIFS(Products[Отмены шт.],"&gt;"&amp;L71)+COUNTIFS($L$5:L71,L71,$A$5:A71,"&lt;&gt;"))</x:f>
      </x:c>
    </x:row>
    <x:row r="72" ht="23" customHeight="1">
      <x:c r="A72" s="51"/>
      <x:c r="B72" s="51"/>
      <x:c r="C72" s="51"/>
      <x:c r="D72" s="11" t="str">
        <x:f>IF(A72="","",SUMIFS(Orders[Продано шт.],Orders[Дата],"&gt;="&amp;'Настройки'!$B$4,Orders[Дата],"&lt;"&amp;('Настройки'!$B$5+1),Orders[SKU],A72))</x:f>
      </x:c>
      <x:c r="E72" s="16" t="str">
        <x:f>IF(A72="","",SUMIFS(Orders[Выручка],Orders[Дата],"&gt;="&amp;'Настройки'!$B$4,Orders[Дата],"&lt;"&amp;('Настройки'!$B$5+1),Orders[SKU],A72))</x:f>
      </x:c>
      <x:c r="F72" s="16" t="str">
        <x:f>IF(A72="","",SUMIFS(Orders[Себестоимость],Orders[Дата],"&gt;="&amp;'Настройки'!$B$4,Orders[Дата],"&lt;"&amp;('Настройки'!$B$5+1),Orders[SKU],A72))</x:f>
      </x:c>
      <x:c r="G72" s="16" t="str">
        <x:f>IF(A72="","",SUMIFS(Orders[Прибыль],Orders[Дата],"&gt;="&amp;'Настройки'!$B$4,Orders[Дата],"&lt;"&amp;('Настройки'!$B$5+1),Orders[SKU],A72))</x:f>
      </x:c>
      <x:c r="H72" s="16" t="str">
        <x:f>IF(A72="","",MAX(0,-G72))</x:f>
      </x:c>
      <x:c r="I72" s="17" t="str">
        <x:f>IF(A72="","",IF(E72=0,"",G72/E72))</x:f>
      </x:c>
      <x:c r="J72" s="17" t="str">
        <x:f>IF(A72="","",IF(F72=0,"",(E72-F72)/F72))</x:f>
      </x:c>
      <x:c r="K72" s="11" t="str">
        <x:f>IF(A72="","",SUMIFS(Orders[Количество],Orders[Дата],"&gt;="&amp;'Настройки'!$B$4,Orders[Дата],"&lt;"&amp;('Настройки'!$B$5+1),Orders[SKU],A72,Orders[Статус],"Возврат"))</x:f>
      </x:c>
      <x:c r="L72" s="11" t="str">
        <x:f>IF(A72="","",SUMIFS(Orders[Количество],Orders[Дата],"&gt;="&amp;'Настройки'!$B$4,Orders[Дата],"&lt;"&amp;('Настройки'!$B$5+1),Orders[SKU],A72,Orders[Статус],"Отменён"))</x:f>
      </x:c>
      <x:c r="M72" s="16" t="str">
        <x:f>IF(A72="","",IF(D72=0,"",E72/D72))</x:f>
      </x:c>
      <x:c r="N72" s="17" t="str">
        <x:f>IF(A72="","",IF(F72=0,"",G72/F72))</x:f>
      </x:c>
      <x:c r="O72" s="11" t="str">
        <x:f>IF(A72="","",SUMIFS(Stock[Остаток],Stock[SKU],A72))</x:f>
      </x:c>
      <x:c r="P72" s="11" t="str">
        <x:f>IF(OR(A72="",E72=""),"",COUNTIFS(Products[Выручка],"&gt;"&amp;E72)+COUNTIFS($E$5:E72,E72,$A$5:A72,"&lt;&gt;"))</x:f>
      </x:c>
      <x:c r="Q72" s="11" t="str">
        <x:f>IF(OR(A72="",G72=""),"",COUNTIFS(Products[Прибыль],"&gt;"&amp;G72)+COUNTIFS($G$5:G72,G72,$A$5:A72,"&lt;&gt;"))</x:f>
      </x:c>
      <x:c r="R72" s="11" t="str">
        <x:f>IF(OR(A72="",I72=""),"",COUNTIFS(Products[Маржа],"&gt;"&amp;I72)+COUNTIFS($I$5:I72,I72,$A$5:A72,"&lt;&gt;"))</x:f>
      </x:c>
      <x:c r="S72" s="11" t="str">
        <x:f>IF(OR(A72="",J72=""),"",COUNTIFS(Products[Наценка],"&gt;"&amp;J72)+COUNTIFS($J$5:J72,J72,$A$5:A72,"&lt;&gt;"))</x:f>
      </x:c>
      <x:c r="T72" s="11" t="str">
        <x:f>IF(OR(A72="",H72&lt;=0),"",COUNTIFS(Products[Убыток],"&gt;"&amp;H72)+COUNTIFS($H$5:H72,H72,$A$5:A72,"&lt;&gt;"))</x:f>
      </x:c>
      <x:c r="U72" s="11" t="str">
        <x:f>IF(OR(A72="",K72&lt;=0),"",COUNTIFS(Products[Возвраты шт.],"&gt;"&amp;K72)+COUNTIFS($K$5:K72,K72,$A$5:A72,"&lt;&gt;"))</x:f>
      </x:c>
      <x:c r="V72" s="11" t="str">
        <x:f>IF(OR(A72="",L72&lt;=0),"",COUNTIFS(Products[Отмены шт.],"&gt;"&amp;L72)+COUNTIFS($L$5:L72,L72,$A$5:A72,"&lt;&gt;"))</x:f>
      </x:c>
    </x:row>
    <x:row r="73" ht="23" customHeight="1">
      <x:c r="A73" s="51"/>
      <x:c r="B73" s="51"/>
      <x:c r="C73" s="51"/>
      <x:c r="D73" s="11" t="str">
        <x:f>IF(A73="","",SUMIFS(Orders[Продано шт.],Orders[Дата],"&gt;="&amp;'Настройки'!$B$4,Orders[Дата],"&lt;"&amp;('Настройки'!$B$5+1),Orders[SKU],A73))</x:f>
      </x:c>
      <x:c r="E73" s="16" t="str">
        <x:f>IF(A73="","",SUMIFS(Orders[Выручка],Orders[Дата],"&gt;="&amp;'Настройки'!$B$4,Orders[Дата],"&lt;"&amp;('Настройки'!$B$5+1),Orders[SKU],A73))</x:f>
      </x:c>
      <x:c r="F73" s="16" t="str">
        <x:f>IF(A73="","",SUMIFS(Orders[Себестоимость],Orders[Дата],"&gt;="&amp;'Настройки'!$B$4,Orders[Дата],"&lt;"&amp;('Настройки'!$B$5+1),Orders[SKU],A73))</x:f>
      </x:c>
      <x:c r="G73" s="16" t="str">
        <x:f>IF(A73="","",SUMIFS(Orders[Прибыль],Orders[Дата],"&gt;="&amp;'Настройки'!$B$4,Orders[Дата],"&lt;"&amp;('Настройки'!$B$5+1),Orders[SKU],A73))</x:f>
      </x:c>
      <x:c r="H73" s="16" t="str">
        <x:f>IF(A73="","",MAX(0,-G73))</x:f>
      </x:c>
      <x:c r="I73" s="17" t="str">
        <x:f>IF(A73="","",IF(E73=0,"",G73/E73))</x:f>
      </x:c>
      <x:c r="J73" s="17" t="str">
        <x:f>IF(A73="","",IF(F73=0,"",(E73-F73)/F73))</x:f>
      </x:c>
      <x:c r="K73" s="11" t="str">
        <x:f>IF(A73="","",SUMIFS(Orders[Количество],Orders[Дата],"&gt;="&amp;'Настройки'!$B$4,Orders[Дата],"&lt;"&amp;('Настройки'!$B$5+1),Orders[SKU],A73,Orders[Статус],"Возврат"))</x:f>
      </x:c>
      <x:c r="L73" s="11" t="str">
        <x:f>IF(A73="","",SUMIFS(Orders[Количество],Orders[Дата],"&gt;="&amp;'Настройки'!$B$4,Orders[Дата],"&lt;"&amp;('Настройки'!$B$5+1),Orders[SKU],A73,Orders[Статус],"Отменён"))</x:f>
      </x:c>
      <x:c r="M73" s="16" t="str">
        <x:f>IF(A73="","",IF(D73=0,"",E73/D73))</x:f>
      </x:c>
      <x:c r="N73" s="17" t="str">
        <x:f>IF(A73="","",IF(F73=0,"",G73/F73))</x:f>
      </x:c>
      <x:c r="O73" s="11" t="str">
        <x:f>IF(A73="","",SUMIFS(Stock[Остаток],Stock[SKU],A73))</x:f>
      </x:c>
      <x:c r="P73" s="11" t="str">
        <x:f>IF(OR(A73="",E73=""),"",COUNTIFS(Products[Выручка],"&gt;"&amp;E73)+COUNTIFS($E$5:E73,E73,$A$5:A73,"&lt;&gt;"))</x:f>
      </x:c>
      <x:c r="Q73" s="11" t="str">
        <x:f>IF(OR(A73="",G73=""),"",COUNTIFS(Products[Прибыль],"&gt;"&amp;G73)+COUNTIFS($G$5:G73,G73,$A$5:A73,"&lt;&gt;"))</x:f>
      </x:c>
      <x:c r="R73" s="11" t="str">
        <x:f>IF(OR(A73="",I73=""),"",COUNTIFS(Products[Маржа],"&gt;"&amp;I73)+COUNTIFS($I$5:I73,I73,$A$5:A73,"&lt;&gt;"))</x:f>
      </x:c>
      <x:c r="S73" s="11" t="str">
        <x:f>IF(OR(A73="",J73=""),"",COUNTIFS(Products[Наценка],"&gt;"&amp;J73)+COUNTIFS($J$5:J73,J73,$A$5:A73,"&lt;&gt;"))</x:f>
      </x:c>
      <x:c r="T73" s="11" t="str">
        <x:f>IF(OR(A73="",H73&lt;=0),"",COUNTIFS(Products[Убыток],"&gt;"&amp;H73)+COUNTIFS($H$5:H73,H73,$A$5:A73,"&lt;&gt;"))</x:f>
      </x:c>
      <x:c r="U73" s="11" t="str">
        <x:f>IF(OR(A73="",K73&lt;=0),"",COUNTIFS(Products[Возвраты шт.],"&gt;"&amp;K73)+COUNTIFS($K$5:K73,K73,$A$5:A73,"&lt;&gt;"))</x:f>
      </x:c>
      <x:c r="V73" s="11" t="str">
        <x:f>IF(OR(A73="",L73&lt;=0),"",COUNTIFS(Products[Отмены шт.],"&gt;"&amp;L73)+COUNTIFS($L$5:L73,L73,$A$5:A73,"&lt;&gt;"))</x:f>
      </x:c>
    </x:row>
    <x:row r="74" ht="23" customHeight="1">
      <x:c r="A74" s="51"/>
      <x:c r="B74" s="51"/>
      <x:c r="C74" s="51"/>
      <x:c r="D74" s="11" t="str">
        <x:f>IF(A74="","",SUMIFS(Orders[Продано шт.],Orders[Дата],"&gt;="&amp;'Настройки'!$B$4,Orders[Дата],"&lt;"&amp;('Настройки'!$B$5+1),Orders[SKU],A74))</x:f>
      </x:c>
      <x:c r="E74" s="16" t="str">
        <x:f>IF(A74="","",SUMIFS(Orders[Выручка],Orders[Дата],"&gt;="&amp;'Настройки'!$B$4,Orders[Дата],"&lt;"&amp;('Настройки'!$B$5+1),Orders[SKU],A74))</x:f>
      </x:c>
      <x:c r="F74" s="16" t="str">
        <x:f>IF(A74="","",SUMIFS(Orders[Себестоимость],Orders[Дата],"&gt;="&amp;'Настройки'!$B$4,Orders[Дата],"&lt;"&amp;('Настройки'!$B$5+1),Orders[SKU],A74))</x:f>
      </x:c>
      <x:c r="G74" s="16" t="str">
        <x:f>IF(A74="","",SUMIFS(Orders[Прибыль],Orders[Дата],"&gt;="&amp;'Настройки'!$B$4,Orders[Дата],"&lt;"&amp;('Настройки'!$B$5+1),Orders[SKU],A74))</x:f>
      </x:c>
      <x:c r="H74" s="16" t="str">
        <x:f>IF(A74="","",MAX(0,-G74))</x:f>
      </x:c>
      <x:c r="I74" s="17" t="str">
        <x:f>IF(A74="","",IF(E74=0,"",G74/E74))</x:f>
      </x:c>
      <x:c r="J74" s="17" t="str">
        <x:f>IF(A74="","",IF(F74=0,"",(E74-F74)/F74))</x:f>
      </x:c>
      <x:c r="K74" s="11" t="str">
        <x:f>IF(A74="","",SUMIFS(Orders[Количество],Orders[Дата],"&gt;="&amp;'Настройки'!$B$4,Orders[Дата],"&lt;"&amp;('Настройки'!$B$5+1),Orders[SKU],A74,Orders[Статус],"Возврат"))</x:f>
      </x:c>
      <x:c r="L74" s="11" t="str">
        <x:f>IF(A74="","",SUMIFS(Orders[Количество],Orders[Дата],"&gt;="&amp;'Настройки'!$B$4,Orders[Дата],"&lt;"&amp;('Настройки'!$B$5+1),Orders[SKU],A74,Orders[Статус],"Отменён"))</x:f>
      </x:c>
      <x:c r="M74" s="16" t="str">
        <x:f>IF(A74="","",IF(D74=0,"",E74/D74))</x:f>
      </x:c>
      <x:c r="N74" s="17" t="str">
        <x:f>IF(A74="","",IF(F74=0,"",G74/F74))</x:f>
      </x:c>
      <x:c r="O74" s="11" t="str">
        <x:f>IF(A74="","",SUMIFS(Stock[Остаток],Stock[SKU],A74))</x:f>
      </x:c>
      <x:c r="P74" s="11" t="str">
        <x:f>IF(OR(A74="",E74=""),"",COUNTIFS(Products[Выручка],"&gt;"&amp;E74)+COUNTIFS($E$5:E74,E74,$A$5:A74,"&lt;&gt;"))</x:f>
      </x:c>
      <x:c r="Q74" s="11" t="str">
        <x:f>IF(OR(A74="",G74=""),"",COUNTIFS(Products[Прибыль],"&gt;"&amp;G74)+COUNTIFS($G$5:G74,G74,$A$5:A74,"&lt;&gt;"))</x:f>
      </x:c>
      <x:c r="R74" s="11" t="str">
        <x:f>IF(OR(A74="",I74=""),"",COUNTIFS(Products[Маржа],"&gt;"&amp;I74)+COUNTIFS($I$5:I74,I74,$A$5:A74,"&lt;&gt;"))</x:f>
      </x:c>
      <x:c r="S74" s="11" t="str">
        <x:f>IF(OR(A74="",J74=""),"",COUNTIFS(Products[Наценка],"&gt;"&amp;J74)+COUNTIFS($J$5:J74,J74,$A$5:A74,"&lt;&gt;"))</x:f>
      </x:c>
      <x:c r="T74" s="11" t="str">
        <x:f>IF(OR(A74="",H74&lt;=0),"",COUNTIFS(Products[Убыток],"&gt;"&amp;H74)+COUNTIFS($H$5:H74,H74,$A$5:A74,"&lt;&gt;"))</x:f>
      </x:c>
      <x:c r="U74" s="11" t="str">
        <x:f>IF(OR(A74="",K74&lt;=0),"",COUNTIFS(Products[Возвраты шт.],"&gt;"&amp;K74)+COUNTIFS($K$5:K74,K74,$A$5:A74,"&lt;&gt;"))</x:f>
      </x:c>
      <x:c r="V74" s="11" t="str">
        <x:f>IF(OR(A74="",L74&lt;=0),"",COUNTIFS(Products[Отмены шт.],"&gt;"&amp;L74)+COUNTIFS($L$5:L74,L74,$A$5:A74,"&lt;&gt;"))</x:f>
      </x:c>
    </x:row>
    <x:row r="75" ht="23" customHeight="1">
      <x:c r="A75" s="51"/>
      <x:c r="B75" s="51"/>
      <x:c r="C75" s="51"/>
      <x:c r="D75" s="11" t="str">
        <x:f>IF(A75="","",SUMIFS(Orders[Продано шт.],Orders[Дата],"&gt;="&amp;'Настройки'!$B$4,Orders[Дата],"&lt;"&amp;('Настройки'!$B$5+1),Orders[SKU],A75))</x:f>
      </x:c>
      <x:c r="E75" s="16" t="str">
        <x:f>IF(A75="","",SUMIFS(Orders[Выручка],Orders[Дата],"&gt;="&amp;'Настройки'!$B$4,Orders[Дата],"&lt;"&amp;('Настройки'!$B$5+1),Orders[SKU],A75))</x:f>
      </x:c>
      <x:c r="F75" s="16" t="str">
        <x:f>IF(A75="","",SUMIFS(Orders[Себестоимость],Orders[Дата],"&gt;="&amp;'Настройки'!$B$4,Orders[Дата],"&lt;"&amp;('Настройки'!$B$5+1),Orders[SKU],A75))</x:f>
      </x:c>
      <x:c r="G75" s="16" t="str">
        <x:f>IF(A75="","",SUMIFS(Orders[Прибыль],Orders[Дата],"&gt;="&amp;'Настройки'!$B$4,Orders[Дата],"&lt;"&amp;('Настройки'!$B$5+1),Orders[SKU],A75))</x:f>
      </x:c>
      <x:c r="H75" s="16" t="str">
        <x:f>IF(A75="","",MAX(0,-G75))</x:f>
      </x:c>
      <x:c r="I75" s="17" t="str">
        <x:f>IF(A75="","",IF(E75=0,"",G75/E75))</x:f>
      </x:c>
      <x:c r="J75" s="17" t="str">
        <x:f>IF(A75="","",IF(F75=0,"",(E75-F75)/F75))</x:f>
      </x:c>
      <x:c r="K75" s="11" t="str">
        <x:f>IF(A75="","",SUMIFS(Orders[Количество],Orders[Дата],"&gt;="&amp;'Настройки'!$B$4,Orders[Дата],"&lt;"&amp;('Настройки'!$B$5+1),Orders[SKU],A75,Orders[Статус],"Возврат"))</x:f>
      </x:c>
      <x:c r="L75" s="11" t="str">
        <x:f>IF(A75="","",SUMIFS(Orders[Количество],Orders[Дата],"&gt;="&amp;'Настройки'!$B$4,Orders[Дата],"&lt;"&amp;('Настройки'!$B$5+1),Orders[SKU],A75,Orders[Статус],"Отменён"))</x:f>
      </x:c>
      <x:c r="M75" s="16" t="str">
        <x:f>IF(A75="","",IF(D75=0,"",E75/D75))</x:f>
      </x:c>
      <x:c r="N75" s="17" t="str">
        <x:f>IF(A75="","",IF(F75=0,"",G75/F75))</x:f>
      </x:c>
      <x:c r="O75" s="11" t="str">
        <x:f>IF(A75="","",SUMIFS(Stock[Остаток],Stock[SKU],A75))</x:f>
      </x:c>
      <x:c r="P75" s="11" t="str">
        <x:f>IF(OR(A75="",E75=""),"",COUNTIFS(Products[Выручка],"&gt;"&amp;E75)+COUNTIFS($E$5:E75,E75,$A$5:A75,"&lt;&gt;"))</x:f>
      </x:c>
      <x:c r="Q75" s="11" t="str">
        <x:f>IF(OR(A75="",G75=""),"",COUNTIFS(Products[Прибыль],"&gt;"&amp;G75)+COUNTIFS($G$5:G75,G75,$A$5:A75,"&lt;&gt;"))</x:f>
      </x:c>
      <x:c r="R75" s="11" t="str">
        <x:f>IF(OR(A75="",I75=""),"",COUNTIFS(Products[Маржа],"&gt;"&amp;I75)+COUNTIFS($I$5:I75,I75,$A$5:A75,"&lt;&gt;"))</x:f>
      </x:c>
      <x:c r="S75" s="11" t="str">
        <x:f>IF(OR(A75="",J75=""),"",COUNTIFS(Products[Наценка],"&gt;"&amp;J75)+COUNTIFS($J$5:J75,J75,$A$5:A75,"&lt;&gt;"))</x:f>
      </x:c>
      <x:c r="T75" s="11" t="str">
        <x:f>IF(OR(A75="",H75&lt;=0),"",COUNTIFS(Products[Убыток],"&gt;"&amp;H75)+COUNTIFS($H$5:H75,H75,$A$5:A75,"&lt;&gt;"))</x:f>
      </x:c>
      <x:c r="U75" s="11" t="str">
        <x:f>IF(OR(A75="",K75&lt;=0),"",COUNTIFS(Products[Возвраты шт.],"&gt;"&amp;K75)+COUNTIFS($K$5:K75,K75,$A$5:A75,"&lt;&gt;"))</x:f>
      </x:c>
      <x:c r="V75" s="11" t="str">
        <x:f>IF(OR(A75="",L75&lt;=0),"",COUNTIFS(Products[Отмены шт.],"&gt;"&amp;L75)+COUNTIFS($L$5:L75,L75,$A$5:A75,"&lt;&gt;"))</x:f>
      </x:c>
    </x:row>
    <x:row r="76" ht="23" customHeight="1">
      <x:c r="A76" s="51"/>
      <x:c r="B76" s="51"/>
      <x:c r="C76" s="51"/>
      <x:c r="D76" s="11" t="str">
        <x:f>IF(A76="","",SUMIFS(Orders[Продано шт.],Orders[Дата],"&gt;="&amp;'Настройки'!$B$4,Orders[Дата],"&lt;"&amp;('Настройки'!$B$5+1),Orders[SKU],A76))</x:f>
      </x:c>
      <x:c r="E76" s="16" t="str">
        <x:f>IF(A76="","",SUMIFS(Orders[Выручка],Orders[Дата],"&gt;="&amp;'Настройки'!$B$4,Orders[Дата],"&lt;"&amp;('Настройки'!$B$5+1),Orders[SKU],A76))</x:f>
      </x:c>
      <x:c r="F76" s="16" t="str">
        <x:f>IF(A76="","",SUMIFS(Orders[Себестоимость],Orders[Дата],"&gt;="&amp;'Настройки'!$B$4,Orders[Дата],"&lt;"&amp;('Настройки'!$B$5+1),Orders[SKU],A76))</x:f>
      </x:c>
      <x:c r="G76" s="16" t="str">
        <x:f>IF(A76="","",SUMIFS(Orders[Прибыль],Orders[Дата],"&gt;="&amp;'Настройки'!$B$4,Orders[Дата],"&lt;"&amp;('Настройки'!$B$5+1),Orders[SKU],A76))</x:f>
      </x:c>
      <x:c r="H76" s="16" t="str">
        <x:f>IF(A76="","",MAX(0,-G76))</x:f>
      </x:c>
      <x:c r="I76" s="17" t="str">
        <x:f>IF(A76="","",IF(E76=0,"",G76/E76))</x:f>
      </x:c>
      <x:c r="J76" s="17" t="str">
        <x:f>IF(A76="","",IF(F76=0,"",(E76-F76)/F76))</x:f>
      </x:c>
      <x:c r="K76" s="11" t="str">
        <x:f>IF(A76="","",SUMIFS(Orders[Количество],Orders[Дата],"&gt;="&amp;'Настройки'!$B$4,Orders[Дата],"&lt;"&amp;('Настройки'!$B$5+1),Orders[SKU],A76,Orders[Статус],"Возврат"))</x:f>
      </x:c>
      <x:c r="L76" s="11" t="str">
        <x:f>IF(A76="","",SUMIFS(Orders[Количество],Orders[Дата],"&gt;="&amp;'Настройки'!$B$4,Orders[Дата],"&lt;"&amp;('Настройки'!$B$5+1),Orders[SKU],A76,Orders[Статус],"Отменён"))</x:f>
      </x:c>
      <x:c r="M76" s="16" t="str">
        <x:f>IF(A76="","",IF(D76=0,"",E76/D76))</x:f>
      </x:c>
      <x:c r="N76" s="17" t="str">
        <x:f>IF(A76="","",IF(F76=0,"",G76/F76))</x:f>
      </x:c>
      <x:c r="O76" s="11" t="str">
        <x:f>IF(A76="","",SUMIFS(Stock[Остаток],Stock[SKU],A76))</x:f>
      </x:c>
      <x:c r="P76" s="11" t="str">
        <x:f>IF(OR(A76="",E76=""),"",COUNTIFS(Products[Выручка],"&gt;"&amp;E76)+COUNTIFS($E$5:E76,E76,$A$5:A76,"&lt;&gt;"))</x:f>
      </x:c>
      <x:c r="Q76" s="11" t="str">
        <x:f>IF(OR(A76="",G76=""),"",COUNTIFS(Products[Прибыль],"&gt;"&amp;G76)+COUNTIFS($G$5:G76,G76,$A$5:A76,"&lt;&gt;"))</x:f>
      </x:c>
      <x:c r="R76" s="11" t="str">
        <x:f>IF(OR(A76="",I76=""),"",COUNTIFS(Products[Маржа],"&gt;"&amp;I76)+COUNTIFS($I$5:I76,I76,$A$5:A76,"&lt;&gt;"))</x:f>
      </x:c>
      <x:c r="S76" s="11" t="str">
        <x:f>IF(OR(A76="",J76=""),"",COUNTIFS(Products[Наценка],"&gt;"&amp;J76)+COUNTIFS($J$5:J76,J76,$A$5:A76,"&lt;&gt;"))</x:f>
      </x:c>
      <x:c r="T76" s="11" t="str">
        <x:f>IF(OR(A76="",H76&lt;=0),"",COUNTIFS(Products[Убыток],"&gt;"&amp;H76)+COUNTIFS($H$5:H76,H76,$A$5:A76,"&lt;&gt;"))</x:f>
      </x:c>
      <x:c r="U76" s="11" t="str">
        <x:f>IF(OR(A76="",K76&lt;=0),"",COUNTIFS(Products[Возвраты шт.],"&gt;"&amp;K76)+COUNTIFS($K$5:K76,K76,$A$5:A76,"&lt;&gt;"))</x:f>
      </x:c>
      <x:c r="V76" s="11" t="str">
        <x:f>IF(OR(A76="",L76&lt;=0),"",COUNTIFS(Products[Отмены шт.],"&gt;"&amp;L76)+COUNTIFS($L$5:L76,L76,$A$5:A76,"&lt;&gt;"))</x:f>
      </x:c>
    </x:row>
    <x:row r="77" ht="23" customHeight="1">
      <x:c r="A77" s="51"/>
      <x:c r="B77" s="51"/>
      <x:c r="C77" s="51"/>
      <x:c r="D77" s="11" t="str">
        <x:f>IF(A77="","",SUMIFS(Orders[Продано шт.],Orders[Дата],"&gt;="&amp;'Настройки'!$B$4,Orders[Дата],"&lt;"&amp;('Настройки'!$B$5+1),Orders[SKU],A77))</x:f>
      </x:c>
      <x:c r="E77" s="16" t="str">
        <x:f>IF(A77="","",SUMIFS(Orders[Выручка],Orders[Дата],"&gt;="&amp;'Настройки'!$B$4,Orders[Дата],"&lt;"&amp;('Настройки'!$B$5+1),Orders[SKU],A77))</x:f>
      </x:c>
      <x:c r="F77" s="16" t="str">
        <x:f>IF(A77="","",SUMIFS(Orders[Себестоимость],Orders[Дата],"&gt;="&amp;'Настройки'!$B$4,Orders[Дата],"&lt;"&amp;('Настройки'!$B$5+1),Orders[SKU],A77))</x:f>
      </x:c>
      <x:c r="G77" s="16" t="str">
        <x:f>IF(A77="","",SUMIFS(Orders[Прибыль],Orders[Дата],"&gt;="&amp;'Настройки'!$B$4,Orders[Дата],"&lt;"&amp;('Настройки'!$B$5+1),Orders[SKU],A77))</x:f>
      </x:c>
      <x:c r="H77" s="16" t="str">
        <x:f>IF(A77="","",MAX(0,-G77))</x:f>
      </x:c>
      <x:c r="I77" s="17" t="str">
        <x:f>IF(A77="","",IF(E77=0,"",G77/E77))</x:f>
      </x:c>
      <x:c r="J77" s="17" t="str">
        <x:f>IF(A77="","",IF(F77=0,"",(E77-F77)/F77))</x:f>
      </x:c>
      <x:c r="K77" s="11" t="str">
        <x:f>IF(A77="","",SUMIFS(Orders[Количество],Orders[Дата],"&gt;="&amp;'Настройки'!$B$4,Orders[Дата],"&lt;"&amp;('Настройки'!$B$5+1),Orders[SKU],A77,Orders[Статус],"Возврат"))</x:f>
      </x:c>
      <x:c r="L77" s="11" t="str">
        <x:f>IF(A77="","",SUMIFS(Orders[Количество],Orders[Дата],"&gt;="&amp;'Настройки'!$B$4,Orders[Дата],"&lt;"&amp;('Настройки'!$B$5+1),Orders[SKU],A77,Orders[Статус],"Отменён"))</x:f>
      </x:c>
      <x:c r="M77" s="16" t="str">
        <x:f>IF(A77="","",IF(D77=0,"",E77/D77))</x:f>
      </x:c>
      <x:c r="N77" s="17" t="str">
        <x:f>IF(A77="","",IF(F77=0,"",G77/F77))</x:f>
      </x:c>
      <x:c r="O77" s="11" t="str">
        <x:f>IF(A77="","",SUMIFS(Stock[Остаток],Stock[SKU],A77))</x:f>
      </x:c>
      <x:c r="P77" s="11" t="str">
        <x:f>IF(OR(A77="",E77=""),"",COUNTIFS(Products[Выручка],"&gt;"&amp;E77)+COUNTIFS($E$5:E77,E77,$A$5:A77,"&lt;&gt;"))</x:f>
      </x:c>
      <x:c r="Q77" s="11" t="str">
        <x:f>IF(OR(A77="",G77=""),"",COUNTIFS(Products[Прибыль],"&gt;"&amp;G77)+COUNTIFS($G$5:G77,G77,$A$5:A77,"&lt;&gt;"))</x:f>
      </x:c>
      <x:c r="R77" s="11" t="str">
        <x:f>IF(OR(A77="",I77=""),"",COUNTIFS(Products[Маржа],"&gt;"&amp;I77)+COUNTIFS($I$5:I77,I77,$A$5:A77,"&lt;&gt;"))</x:f>
      </x:c>
      <x:c r="S77" s="11" t="str">
        <x:f>IF(OR(A77="",J77=""),"",COUNTIFS(Products[Наценка],"&gt;"&amp;J77)+COUNTIFS($J$5:J77,J77,$A$5:A77,"&lt;&gt;"))</x:f>
      </x:c>
      <x:c r="T77" s="11" t="str">
        <x:f>IF(OR(A77="",H77&lt;=0),"",COUNTIFS(Products[Убыток],"&gt;"&amp;H77)+COUNTIFS($H$5:H77,H77,$A$5:A77,"&lt;&gt;"))</x:f>
      </x:c>
      <x:c r="U77" s="11" t="str">
        <x:f>IF(OR(A77="",K77&lt;=0),"",COUNTIFS(Products[Возвраты шт.],"&gt;"&amp;K77)+COUNTIFS($K$5:K77,K77,$A$5:A77,"&lt;&gt;"))</x:f>
      </x:c>
      <x:c r="V77" s="11" t="str">
        <x:f>IF(OR(A77="",L77&lt;=0),"",COUNTIFS(Products[Отмены шт.],"&gt;"&amp;L77)+COUNTIFS($L$5:L77,L77,$A$5:A77,"&lt;&gt;"))</x:f>
      </x:c>
    </x:row>
    <x:row r="78" ht="23" customHeight="1">
      <x:c r="A78" s="51"/>
      <x:c r="B78" s="51"/>
      <x:c r="C78" s="51"/>
      <x:c r="D78" s="11" t="str">
        <x:f>IF(A78="","",SUMIFS(Orders[Продано шт.],Orders[Дата],"&gt;="&amp;'Настройки'!$B$4,Orders[Дата],"&lt;"&amp;('Настройки'!$B$5+1),Orders[SKU],A78))</x:f>
      </x:c>
      <x:c r="E78" s="16" t="str">
        <x:f>IF(A78="","",SUMIFS(Orders[Выручка],Orders[Дата],"&gt;="&amp;'Настройки'!$B$4,Orders[Дата],"&lt;"&amp;('Настройки'!$B$5+1),Orders[SKU],A78))</x:f>
      </x:c>
      <x:c r="F78" s="16" t="str">
        <x:f>IF(A78="","",SUMIFS(Orders[Себестоимость],Orders[Дата],"&gt;="&amp;'Настройки'!$B$4,Orders[Дата],"&lt;"&amp;('Настройки'!$B$5+1),Orders[SKU],A78))</x:f>
      </x:c>
      <x:c r="G78" s="16" t="str">
        <x:f>IF(A78="","",SUMIFS(Orders[Прибыль],Orders[Дата],"&gt;="&amp;'Настройки'!$B$4,Orders[Дата],"&lt;"&amp;('Настройки'!$B$5+1),Orders[SKU],A78))</x:f>
      </x:c>
      <x:c r="H78" s="16" t="str">
        <x:f>IF(A78="","",MAX(0,-G78))</x:f>
      </x:c>
      <x:c r="I78" s="17" t="str">
        <x:f>IF(A78="","",IF(E78=0,"",G78/E78))</x:f>
      </x:c>
      <x:c r="J78" s="17" t="str">
        <x:f>IF(A78="","",IF(F78=0,"",(E78-F78)/F78))</x:f>
      </x:c>
      <x:c r="K78" s="11" t="str">
        <x:f>IF(A78="","",SUMIFS(Orders[Количество],Orders[Дата],"&gt;="&amp;'Настройки'!$B$4,Orders[Дата],"&lt;"&amp;('Настройки'!$B$5+1),Orders[SKU],A78,Orders[Статус],"Возврат"))</x:f>
      </x:c>
      <x:c r="L78" s="11" t="str">
        <x:f>IF(A78="","",SUMIFS(Orders[Количество],Orders[Дата],"&gt;="&amp;'Настройки'!$B$4,Orders[Дата],"&lt;"&amp;('Настройки'!$B$5+1),Orders[SKU],A78,Orders[Статус],"Отменён"))</x:f>
      </x:c>
      <x:c r="M78" s="16" t="str">
        <x:f>IF(A78="","",IF(D78=0,"",E78/D78))</x:f>
      </x:c>
      <x:c r="N78" s="17" t="str">
        <x:f>IF(A78="","",IF(F78=0,"",G78/F78))</x:f>
      </x:c>
      <x:c r="O78" s="11" t="str">
        <x:f>IF(A78="","",SUMIFS(Stock[Остаток],Stock[SKU],A78))</x:f>
      </x:c>
      <x:c r="P78" s="11" t="str">
        <x:f>IF(OR(A78="",E78=""),"",COUNTIFS(Products[Выручка],"&gt;"&amp;E78)+COUNTIFS($E$5:E78,E78,$A$5:A78,"&lt;&gt;"))</x:f>
      </x:c>
      <x:c r="Q78" s="11" t="str">
        <x:f>IF(OR(A78="",G78=""),"",COUNTIFS(Products[Прибыль],"&gt;"&amp;G78)+COUNTIFS($G$5:G78,G78,$A$5:A78,"&lt;&gt;"))</x:f>
      </x:c>
      <x:c r="R78" s="11" t="str">
        <x:f>IF(OR(A78="",I78=""),"",COUNTIFS(Products[Маржа],"&gt;"&amp;I78)+COUNTIFS($I$5:I78,I78,$A$5:A78,"&lt;&gt;"))</x:f>
      </x:c>
      <x:c r="S78" s="11" t="str">
        <x:f>IF(OR(A78="",J78=""),"",COUNTIFS(Products[Наценка],"&gt;"&amp;J78)+COUNTIFS($J$5:J78,J78,$A$5:A78,"&lt;&gt;"))</x:f>
      </x:c>
      <x:c r="T78" s="11" t="str">
        <x:f>IF(OR(A78="",H78&lt;=0),"",COUNTIFS(Products[Убыток],"&gt;"&amp;H78)+COUNTIFS($H$5:H78,H78,$A$5:A78,"&lt;&gt;"))</x:f>
      </x:c>
      <x:c r="U78" s="11" t="str">
        <x:f>IF(OR(A78="",K78&lt;=0),"",COUNTIFS(Products[Возвраты шт.],"&gt;"&amp;K78)+COUNTIFS($K$5:K78,K78,$A$5:A78,"&lt;&gt;"))</x:f>
      </x:c>
      <x:c r="V78" s="11" t="str">
        <x:f>IF(OR(A78="",L78&lt;=0),"",COUNTIFS(Products[Отмены шт.],"&gt;"&amp;L78)+COUNTIFS($L$5:L78,L78,$A$5:A78,"&lt;&gt;"))</x:f>
      </x:c>
    </x:row>
    <x:row r="79" ht="23" customHeight="1">
      <x:c r="A79" s="51"/>
      <x:c r="B79" s="51"/>
      <x:c r="C79" s="51"/>
      <x:c r="D79" s="11" t="str">
        <x:f>IF(A79="","",SUMIFS(Orders[Продано шт.],Orders[Дата],"&gt;="&amp;'Настройки'!$B$4,Orders[Дата],"&lt;"&amp;('Настройки'!$B$5+1),Orders[SKU],A79))</x:f>
      </x:c>
      <x:c r="E79" s="16" t="str">
        <x:f>IF(A79="","",SUMIFS(Orders[Выручка],Orders[Дата],"&gt;="&amp;'Настройки'!$B$4,Orders[Дата],"&lt;"&amp;('Настройки'!$B$5+1),Orders[SKU],A79))</x:f>
      </x:c>
      <x:c r="F79" s="16" t="str">
        <x:f>IF(A79="","",SUMIFS(Orders[Себестоимость],Orders[Дата],"&gt;="&amp;'Настройки'!$B$4,Orders[Дата],"&lt;"&amp;('Настройки'!$B$5+1),Orders[SKU],A79))</x:f>
      </x:c>
      <x:c r="G79" s="16" t="str">
        <x:f>IF(A79="","",SUMIFS(Orders[Прибыль],Orders[Дата],"&gt;="&amp;'Настройки'!$B$4,Orders[Дата],"&lt;"&amp;('Настройки'!$B$5+1),Orders[SKU],A79))</x:f>
      </x:c>
      <x:c r="H79" s="16" t="str">
        <x:f>IF(A79="","",MAX(0,-G79))</x:f>
      </x:c>
      <x:c r="I79" s="17" t="str">
        <x:f>IF(A79="","",IF(E79=0,"",G79/E79))</x:f>
      </x:c>
      <x:c r="J79" s="17" t="str">
        <x:f>IF(A79="","",IF(F79=0,"",(E79-F79)/F79))</x:f>
      </x:c>
      <x:c r="K79" s="11" t="str">
        <x:f>IF(A79="","",SUMIFS(Orders[Количество],Orders[Дата],"&gt;="&amp;'Настройки'!$B$4,Orders[Дата],"&lt;"&amp;('Настройки'!$B$5+1),Orders[SKU],A79,Orders[Статус],"Возврат"))</x:f>
      </x:c>
      <x:c r="L79" s="11" t="str">
        <x:f>IF(A79="","",SUMIFS(Orders[Количество],Orders[Дата],"&gt;="&amp;'Настройки'!$B$4,Orders[Дата],"&lt;"&amp;('Настройки'!$B$5+1),Orders[SKU],A79,Orders[Статус],"Отменён"))</x:f>
      </x:c>
      <x:c r="M79" s="16" t="str">
        <x:f>IF(A79="","",IF(D79=0,"",E79/D79))</x:f>
      </x:c>
      <x:c r="N79" s="17" t="str">
        <x:f>IF(A79="","",IF(F79=0,"",G79/F79))</x:f>
      </x:c>
      <x:c r="O79" s="11" t="str">
        <x:f>IF(A79="","",SUMIFS(Stock[Остаток],Stock[SKU],A79))</x:f>
      </x:c>
      <x:c r="P79" s="11" t="str">
        <x:f>IF(OR(A79="",E79=""),"",COUNTIFS(Products[Выручка],"&gt;"&amp;E79)+COUNTIFS($E$5:E79,E79,$A$5:A79,"&lt;&gt;"))</x:f>
      </x:c>
      <x:c r="Q79" s="11" t="str">
        <x:f>IF(OR(A79="",G79=""),"",COUNTIFS(Products[Прибыль],"&gt;"&amp;G79)+COUNTIFS($G$5:G79,G79,$A$5:A79,"&lt;&gt;"))</x:f>
      </x:c>
      <x:c r="R79" s="11" t="str">
        <x:f>IF(OR(A79="",I79=""),"",COUNTIFS(Products[Маржа],"&gt;"&amp;I79)+COUNTIFS($I$5:I79,I79,$A$5:A79,"&lt;&gt;"))</x:f>
      </x:c>
      <x:c r="S79" s="11" t="str">
        <x:f>IF(OR(A79="",J79=""),"",COUNTIFS(Products[Наценка],"&gt;"&amp;J79)+COUNTIFS($J$5:J79,J79,$A$5:A79,"&lt;&gt;"))</x:f>
      </x:c>
      <x:c r="T79" s="11" t="str">
        <x:f>IF(OR(A79="",H79&lt;=0),"",COUNTIFS(Products[Убыток],"&gt;"&amp;H79)+COUNTIFS($H$5:H79,H79,$A$5:A79,"&lt;&gt;"))</x:f>
      </x:c>
      <x:c r="U79" s="11" t="str">
        <x:f>IF(OR(A79="",K79&lt;=0),"",COUNTIFS(Products[Возвраты шт.],"&gt;"&amp;K79)+COUNTIFS($K$5:K79,K79,$A$5:A79,"&lt;&gt;"))</x:f>
      </x:c>
      <x:c r="V79" s="11" t="str">
        <x:f>IF(OR(A79="",L79&lt;=0),"",COUNTIFS(Products[Отмены шт.],"&gt;"&amp;L79)+COUNTIFS($L$5:L79,L79,$A$5:A79,"&lt;&gt;"))</x:f>
      </x:c>
    </x:row>
    <x:row r="80" ht="23" customHeight="1">
      <x:c r="A80" s="51"/>
      <x:c r="B80" s="51"/>
      <x:c r="C80" s="51"/>
      <x:c r="D80" s="11" t="str">
        <x:f>IF(A80="","",SUMIFS(Orders[Продано шт.],Orders[Дата],"&gt;="&amp;'Настройки'!$B$4,Orders[Дата],"&lt;"&amp;('Настройки'!$B$5+1),Orders[SKU],A80))</x:f>
      </x:c>
      <x:c r="E80" s="16" t="str">
        <x:f>IF(A80="","",SUMIFS(Orders[Выручка],Orders[Дата],"&gt;="&amp;'Настройки'!$B$4,Orders[Дата],"&lt;"&amp;('Настройки'!$B$5+1),Orders[SKU],A80))</x:f>
      </x:c>
      <x:c r="F80" s="16" t="str">
        <x:f>IF(A80="","",SUMIFS(Orders[Себестоимость],Orders[Дата],"&gt;="&amp;'Настройки'!$B$4,Orders[Дата],"&lt;"&amp;('Настройки'!$B$5+1),Orders[SKU],A80))</x:f>
      </x:c>
      <x:c r="G80" s="16" t="str">
        <x:f>IF(A80="","",SUMIFS(Orders[Прибыль],Orders[Дата],"&gt;="&amp;'Настройки'!$B$4,Orders[Дата],"&lt;"&amp;('Настройки'!$B$5+1),Orders[SKU],A80))</x:f>
      </x:c>
      <x:c r="H80" s="16" t="str">
        <x:f>IF(A80="","",MAX(0,-G80))</x:f>
      </x:c>
      <x:c r="I80" s="17" t="str">
        <x:f>IF(A80="","",IF(E80=0,"",G80/E80))</x:f>
      </x:c>
      <x:c r="J80" s="17" t="str">
        <x:f>IF(A80="","",IF(F80=0,"",(E80-F80)/F80))</x:f>
      </x:c>
      <x:c r="K80" s="11" t="str">
        <x:f>IF(A80="","",SUMIFS(Orders[Количество],Orders[Дата],"&gt;="&amp;'Настройки'!$B$4,Orders[Дата],"&lt;"&amp;('Настройки'!$B$5+1),Orders[SKU],A80,Orders[Статус],"Возврат"))</x:f>
      </x:c>
      <x:c r="L80" s="11" t="str">
        <x:f>IF(A80="","",SUMIFS(Orders[Количество],Orders[Дата],"&gt;="&amp;'Настройки'!$B$4,Orders[Дата],"&lt;"&amp;('Настройки'!$B$5+1),Orders[SKU],A80,Orders[Статус],"Отменён"))</x:f>
      </x:c>
      <x:c r="M80" s="16" t="str">
        <x:f>IF(A80="","",IF(D80=0,"",E80/D80))</x:f>
      </x:c>
      <x:c r="N80" s="17" t="str">
        <x:f>IF(A80="","",IF(F80=0,"",G80/F80))</x:f>
      </x:c>
      <x:c r="O80" s="11" t="str">
        <x:f>IF(A80="","",SUMIFS(Stock[Остаток],Stock[SKU],A80))</x:f>
      </x:c>
      <x:c r="P80" s="11" t="str">
        <x:f>IF(OR(A80="",E80=""),"",COUNTIFS(Products[Выручка],"&gt;"&amp;E80)+COUNTIFS($E$5:E80,E80,$A$5:A80,"&lt;&gt;"))</x:f>
      </x:c>
      <x:c r="Q80" s="11" t="str">
        <x:f>IF(OR(A80="",G80=""),"",COUNTIFS(Products[Прибыль],"&gt;"&amp;G80)+COUNTIFS($G$5:G80,G80,$A$5:A80,"&lt;&gt;"))</x:f>
      </x:c>
      <x:c r="R80" s="11" t="str">
        <x:f>IF(OR(A80="",I80=""),"",COUNTIFS(Products[Маржа],"&gt;"&amp;I80)+COUNTIFS($I$5:I80,I80,$A$5:A80,"&lt;&gt;"))</x:f>
      </x:c>
      <x:c r="S80" s="11" t="str">
        <x:f>IF(OR(A80="",J80=""),"",COUNTIFS(Products[Наценка],"&gt;"&amp;J80)+COUNTIFS($J$5:J80,J80,$A$5:A80,"&lt;&gt;"))</x:f>
      </x:c>
      <x:c r="T80" s="11" t="str">
        <x:f>IF(OR(A80="",H80&lt;=0),"",COUNTIFS(Products[Убыток],"&gt;"&amp;H80)+COUNTIFS($H$5:H80,H80,$A$5:A80,"&lt;&gt;"))</x:f>
      </x:c>
      <x:c r="U80" s="11" t="str">
        <x:f>IF(OR(A80="",K80&lt;=0),"",COUNTIFS(Products[Возвраты шт.],"&gt;"&amp;K80)+COUNTIFS($K$5:K80,K80,$A$5:A80,"&lt;&gt;"))</x:f>
      </x:c>
      <x:c r="V80" s="11" t="str">
        <x:f>IF(OR(A80="",L80&lt;=0),"",COUNTIFS(Products[Отмены шт.],"&gt;"&amp;L80)+COUNTIFS($L$5:L80,L80,$A$5:A80,"&lt;&gt;"))</x:f>
      </x:c>
    </x:row>
    <x:row r="81" ht="23" customHeight="1">
      <x:c r="A81" s="51"/>
      <x:c r="B81" s="51"/>
      <x:c r="C81" s="51"/>
      <x:c r="D81" s="11" t="str">
        <x:f>IF(A81="","",SUMIFS(Orders[Продано шт.],Orders[Дата],"&gt;="&amp;'Настройки'!$B$4,Orders[Дата],"&lt;"&amp;('Настройки'!$B$5+1),Orders[SKU],A81))</x:f>
      </x:c>
      <x:c r="E81" s="16" t="str">
        <x:f>IF(A81="","",SUMIFS(Orders[Выручка],Orders[Дата],"&gt;="&amp;'Настройки'!$B$4,Orders[Дата],"&lt;"&amp;('Настройки'!$B$5+1),Orders[SKU],A81))</x:f>
      </x:c>
      <x:c r="F81" s="16" t="str">
        <x:f>IF(A81="","",SUMIFS(Orders[Себестоимость],Orders[Дата],"&gt;="&amp;'Настройки'!$B$4,Orders[Дата],"&lt;"&amp;('Настройки'!$B$5+1),Orders[SKU],A81))</x:f>
      </x:c>
      <x:c r="G81" s="16" t="str">
        <x:f>IF(A81="","",SUMIFS(Orders[Прибыль],Orders[Дата],"&gt;="&amp;'Настройки'!$B$4,Orders[Дата],"&lt;"&amp;('Настройки'!$B$5+1),Orders[SKU],A81))</x:f>
      </x:c>
      <x:c r="H81" s="16" t="str">
        <x:f>IF(A81="","",MAX(0,-G81))</x:f>
      </x:c>
      <x:c r="I81" s="17" t="str">
        <x:f>IF(A81="","",IF(E81=0,"",G81/E81))</x:f>
      </x:c>
      <x:c r="J81" s="17" t="str">
        <x:f>IF(A81="","",IF(F81=0,"",(E81-F81)/F81))</x:f>
      </x:c>
      <x:c r="K81" s="11" t="str">
        <x:f>IF(A81="","",SUMIFS(Orders[Количество],Orders[Дата],"&gt;="&amp;'Настройки'!$B$4,Orders[Дата],"&lt;"&amp;('Настройки'!$B$5+1),Orders[SKU],A81,Orders[Статус],"Возврат"))</x:f>
      </x:c>
      <x:c r="L81" s="11" t="str">
        <x:f>IF(A81="","",SUMIFS(Orders[Количество],Orders[Дата],"&gt;="&amp;'Настройки'!$B$4,Orders[Дата],"&lt;"&amp;('Настройки'!$B$5+1),Orders[SKU],A81,Orders[Статус],"Отменён"))</x:f>
      </x:c>
      <x:c r="M81" s="16" t="str">
        <x:f>IF(A81="","",IF(D81=0,"",E81/D81))</x:f>
      </x:c>
      <x:c r="N81" s="17" t="str">
        <x:f>IF(A81="","",IF(F81=0,"",G81/F81))</x:f>
      </x:c>
      <x:c r="O81" s="11" t="str">
        <x:f>IF(A81="","",SUMIFS(Stock[Остаток],Stock[SKU],A81))</x:f>
      </x:c>
      <x:c r="P81" s="11" t="str">
        <x:f>IF(OR(A81="",E81=""),"",COUNTIFS(Products[Выручка],"&gt;"&amp;E81)+COUNTIFS($E$5:E81,E81,$A$5:A81,"&lt;&gt;"))</x:f>
      </x:c>
      <x:c r="Q81" s="11" t="str">
        <x:f>IF(OR(A81="",G81=""),"",COUNTIFS(Products[Прибыль],"&gt;"&amp;G81)+COUNTIFS($G$5:G81,G81,$A$5:A81,"&lt;&gt;"))</x:f>
      </x:c>
      <x:c r="R81" s="11" t="str">
        <x:f>IF(OR(A81="",I81=""),"",COUNTIFS(Products[Маржа],"&gt;"&amp;I81)+COUNTIFS($I$5:I81,I81,$A$5:A81,"&lt;&gt;"))</x:f>
      </x:c>
      <x:c r="S81" s="11" t="str">
        <x:f>IF(OR(A81="",J81=""),"",COUNTIFS(Products[Наценка],"&gt;"&amp;J81)+COUNTIFS($J$5:J81,J81,$A$5:A81,"&lt;&gt;"))</x:f>
      </x:c>
      <x:c r="T81" s="11" t="str">
        <x:f>IF(OR(A81="",H81&lt;=0),"",COUNTIFS(Products[Убыток],"&gt;"&amp;H81)+COUNTIFS($H$5:H81,H81,$A$5:A81,"&lt;&gt;"))</x:f>
      </x:c>
      <x:c r="U81" s="11" t="str">
        <x:f>IF(OR(A81="",K81&lt;=0),"",COUNTIFS(Products[Возвраты шт.],"&gt;"&amp;K81)+COUNTIFS($K$5:K81,K81,$A$5:A81,"&lt;&gt;"))</x:f>
      </x:c>
      <x:c r="V81" s="11" t="str">
        <x:f>IF(OR(A81="",L81&lt;=0),"",COUNTIFS(Products[Отмены шт.],"&gt;"&amp;L81)+COUNTIFS($L$5:L81,L81,$A$5:A81,"&lt;&gt;"))</x:f>
      </x:c>
    </x:row>
    <x:row r="82" ht="23" customHeight="1">
      <x:c r="A82" s="51"/>
      <x:c r="B82" s="51"/>
      <x:c r="C82" s="51"/>
      <x:c r="D82" s="11" t="str">
        <x:f>IF(A82="","",SUMIFS(Orders[Продано шт.],Orders[Дата],"&gt;="&amp;'Настройки'!$B$4,Orders[Дата],"&lt;"&amp;('Настройки'!$B$5+1),Orders[SKU],A82))</x:f>
      </x:c>
      <x:c r="E82" s="16" t="str">
        <x:f>IF(A82="","",SUMIFS(Orders[Выручка],Orders[Дата],"&gt;="&amp;'Настройки'!$B$4,Orders[Дата],"&lt;"&amp;('Настройки'!$B$5+1),Orders[SKU],A82))</x:f>
      </x:c>
      <x:c r="F82" s="16" t="str">
        <x:f>IF(A82="","",SUMIFS(Orders[Себестоимость],Orders[Дата],"&gt;="&amp;'Настройки'!$B$4,Orders[Дата],"&lt;"&amp;('Настройки'!$B$5+1),Orders[SKU],A82))</x:f>
      </x:c>
      <x:c r="G82" s="16" t="str">
        <x:f>IF(A82="","",SUMIFS(Orders[Прибыль],Orders[Дата],"&gt;="&amp;'Настройки'!$B$4,Orders[Дата],"&lt;"&amp;('Настройки'!$B$5+1),Orders[SKU],A82))</x:f>
      </x:c>
      <x:c r="H82" s="16" t="str">
        <x:f>IF(A82="","",MAX(0,-G82))</x:f>
      </x:c>
      <x:c r="I82" s="17" t="str">
        <x:f>IF(A82="","",IF(E82=0,"",G82/E82))</x:f>
      </x:c>
      <x:c r="J82" s="17" t="str">
        <x:f>IF(A82="","",IF(F82=0,"",(E82-F82)/F82))</x:f>
      </x:c>
      <x:c r="K82" s="11" t="str">
        <x:f>IF(A82="","",SUMIFS(Orders[Количество],Orders[Дата],"&gt;="&amp;'Настройки'!$B$4,Orders[Дата],"&lt;"&amp;('Настройки'!$B$5+1),Orders[SKU],A82,Orders[Статус],"Возврат"))</x:f>
      </x:c>
      <x:c r="L82" s="11" t="str">
        <x:f>IF(A82="","",SUMIFS(Orders[Количество],Orders[Дата],"&gt;="&amp;'Настройки'!$B$4,Orders[Дата],"&lt;"&amp;('Настройки'!$B$5+1),Orders[SKU],A82,Orders[Статус],"Отменён"))</x:f>
      </x:c>
      <x:c r="M82" s="16" t="str">
        <x:f>IF(A82="","",IF(D82=0,"",E82/D82))</x:f>
      </x:c>
      <x:c r="N82" s="17" t="str">
        <x:f>IF(A82="","",IF(F82=0,"",G82/F82))</x:f>
      </x:c>
      <x:c r="O82" s="11" t="str">
        <x:f>IF(A82="","",SUMIFS(Stock[Остаток],Stock[SKU],A82))</x:f>
      </x:c>
      <x:c r="P82" s="11" t="str">
        <x:f>IF(OR(A82="",E82=""),"",COUNTIFS(Products[Выручка],"&gt;"&amp;E82)+COUNTIFS($E$5:E82,E82,$A$5:A82,"&lt;&gt;"))</x:f>
      </x:c>
      <x:c r="Q82" s="11" t="str">
        <x:f>IF(OR(A82="",G82=""),"",COUNTIFS(Products[Прибыль],"&gt;"&amp;G82)+COUNTIFS($G$5:G82,G82,$A$5:A82,"&lt;&gt;"))</x:f>
      </x:c>
      <x:c r="R82" s="11" t="str">
        <x:f>IF(OR(A82="",I82=""),"",COUNTIFS(Products[Маржа],"&gt;"&amp;I82)+COUNTIFS($I$5:I82,I82,$A$5:A82,"&lt;&gt;"))</x:f>
      </x:c>
      <x:c r="S82" s="11" t="str">
        <x:f>IF(OR(A82="",J82=""),"",COUNTIFS(Products[Наценка],"&gt;"&amp;J82)+COUNTIFS($J$5:J82,J82,$A$5:A82,"&lt;&gt;"))</x:f>
      </x:c>
      <x:c r="T82" s="11" t="str">
        <x:f>IF(OR(A82="",H82&lt;=0),"",COUNTIFS(Products[Убыток],"&gt;"&amp;H82)+COUNTIFS($H$5:H82,H82,$A$5:A82,"&lt;&gt;"))</x:f>
      </x:c>
      <x:c r="U82" s="11" t="str">
        <x:f>IF(OR(A82="",K82&lt;=0),"",COUNTIFS(Products[Возвраты шт.],"&gt;"&amp;K82)+COUNTIFS($K$5:K82,K82,$A$5:A82,"&lt;&gt;"))</x:f>
      </x:c>
      <x:c r="V82" s="11" t="str">
        <x:f>IF(OR(A82="",L82&lt;=0),"",COUNTIFS(Products[Отмены шт.],"&gt;"&amp;L82)+COUNTIFS($L$5:L82,L82,$A$5:A82,"&lt;&gt;"))</x:f>
      </x:c>
    </x:row>
    <x:row r="83" ht="23" customHeight="1">
      <x:c r="A83" s="51"/>
      <x:c r="B83" s="51"/>
      <x:c r="C83" s="51"/>
      <x:c r="D83" s="11" t="str">
        <x:f>IF(A83="","",SUMIFS(Orders[Продано шт.],Orders[Дата],"&gt;="&amp;'Настройки'!$B$4,Orders[Дата],"&lt;"&amp;('Настройки'!$B$5+1),Orders[SKU],A83))</x:f>
      </x:c>
      <x:c r="E83" s="16" t="str">
        <x:f>IF(A83="","",SUMIFS(Orders[Выручка],Orders[Дата],"&gt;="&amp;'Настройки'!$B$4,Orders[Дата],"&lt;"&amp;('Настройки'!$B$5+1),Orders[SKU],A83))</x:f>
      </x:c>
      <x:c r="F83" s="16" t="str">
        <x:f>IF(A83="","",SUMIFS(Orders[Себестоимость],Orders[Дата],"&gt;="&amp;'Настройки'!$B$4,Orders[Дата],"&lt;"&amp;('Настройки'!$B$5+1),Orders[SKU],A83))</x:f>
      </x:c>
      <x:c r="G83" s="16" t="str">
        <x:f>IF(A83="","",SUMIFS(Orders[Прибыль],Orders[Дата],"&gt;="&amp;'Настройки'!$B$4,Orders[Дата],"&lt;"&amp;('Настройки'!$B$5+1),Orders[SKU],A83))</x:f>
      </x:c>
      <x:c r="H83" s="16" t="str">
        <x:f>IF(A83="","",MAX(0,-G83))</x:f>
      </x:c>
      <x:c r="I83" s="17" t="str">
        <x:f>IF(A83="","",IF(E83=0,"",G83/E83))</x:f>
      </x:c>
      <x:c r="J83" s="17" t="str">
        <x:f>IF(A83="","",IF(F83=0,"",(E83-F83)/F83))</x:f>
      </x:c>
      <x:c r="K83" s="11" t="str">
        <x:f>IF(A83="","",SUMIFS(Orders[Количество],Orders[Дата],"&gt;="&amp;'Настройки'!$B$4,Orders[Дата],"&lt;"&amp;('Настройки'!$B$5+1),Orders[SKU],A83,Orders[Статус],"Возврат"))</x:f>
      </x:c>
      <x:c r="L83" s="11" t="str">
        <x:f>IF(A83="","",SUMIFS(Orders[Количество],Orders[Дата],"&gt;="&amp;'Настройки'!$B$4,Orders[Дата],"&lt;"&amp;('Настройки'!$B$5+1),Orders[SKU],A83,Orders[Статус],"Отменён"))</x:f>
      </x:c>
      <x:c r="M83" s="16" t="str">
        <x:f>IF(A83="","",IF(D83=0,"",E83/D83))</x:f>
      </x:c>
      <x:c r="N83" s="17" t="str">
        <x:f>IF(A83="","",IF(F83=0,"",G83/F83))</x:f>
      </x:c>
      <x:c r="O83" s="11" t="str">
        <x:f>IF(A83="","",SUMIFS(Stock[Остаток],Stock[SKU],A83))</x:f>
      </x:c>
      <x:c r="P83" s="11" t="str">
        <x:f>IF(OR(A83="",E83=""),"",COUNTIFS(Products[Выручка],"&gt;"&amp;E83)+COUNTIFS($E$5:E83,E83,$A$5:A83,"&lt;&gt;"))</x:f>
      </x:c>
      <x:c r="Q83" s="11" t="str">
        <x:f>IF(OR(A83="",G83=""),"",COUNTIFS(Products[Прибыль],"&gt;"&amp;G83)+COUNTIFS($G$5:G83,G83,$A$5:A83,"&lt;&gt;"))</x:f>
      </x:c>
      <x:c r="R83" s="11" t="str">
        <x:f>IF(OR(A83="",I83=""),"",COUNTIFS(Products[Маржа],"&gt;"&amp;I83)+COUNTIFS($I$5:I83,I83,$A$5:A83,"&lt;&gt;"))</x:f>
      </x:c>
      <x:c r="S83" s="11" t="str">
        <x:f>IF(OR(A83="",J83=""),"",COUNTIFS(Products[Наценка],"&gt;"&amp;J83)+COUNTIFS($J$5:J83,J83,$A$5:A83,"&lt;&gt;"))</x:f>
      </x:c>
      <x:c r="T83" s="11" t="str">
        <x:f>IF(OR(A83="",H83&lt;=0),"",COUNTIFS(Products[Убыток],"&gt;"&amp;H83)+COUNTIFS($H$5:H83,H83,$A$5:A83,"&lt;&gt;"))</x:f>
      </x:c>
      <x:c r="U83" s="11" t="str">
        <x:f>IF(OR(A83="",K83&lt;=0),"",COUNTIFS(Products[Возвраты шт.],"&gt;"&amp;K83)+COUNTIFS($K$5:K83,K83,$A$5:A83,"&lt;&gt;"))</x:f>
      </x:c>
      <x:c r="V83" s="11" t="str">
        <x:f>IF(OR(A83="",L83&lt;=0),"",COUNTIFS(Products[Отмены шт.],"&gt;"&amp;L83)+COUNTIFS($L$5:L83,L83,$A$5:A83,"&lt;&gt;"))</x:f>
      </x:c>
    </x:row>
    <x:row r="84" ht="23" customHeight="1">
      <x:c r="A84" s="51"/>
      <x:c r="B84" s="51"/>
      <x:c r="C84" s="51"/>
      <x:c r="D84" s="11" t="str">
        <x:f>IF(A84="","",SUMIFS(Orders[Продано шт.],Orders[Дата],"&gt;="&amp;'Настройки'!$B$4,Orders[Дата],"&lt;"&amp;('Настройки'!$B$5+1),Orders[SKU],A84))</x:f>
      </x:c>
      <x:c r="E84" s="16" t="str">
        <x:f>IF(A84="","",SUMIFS(Orders[Выручка],Orders[Дата],"&gt;="&amp;'Настройки'!$B$4,Orders[Дата],"&lt;"&amp;('Настройки'!$B$5+1),Orders[SKU],A84))</x:f>
      </x:c>
      <x:c r="F84" s="16" t="str">
        <x:f>IF(A84="","",SUMIFS(Orders[Себестоимость],Orders[Дата],"&gt;="&amp;'Настройки'!$B$4,Orders[Дата],"&lt;"&amp;('Настройки'!$B$5+1),Orders[SKU],A84))</x:f>
      </x:c>
      <x:c r="G84" s="16" t="str">
        <x:f>IF(A84="","",SUMIFS(Orders[Прибыль],Orders[Дата],"&gt;="&amp;'Настройки'!$B$4,Orders[Дата],"&lt;"&amp;('Настройки'!$B$5+1),Orders[SKU],A84))</x:f>
      </x:c>
      <x:c r="H84" s="16" t="str">
        <x:f>IF(A84="","",MAX(0,-G84))</x:f>
      </x:c>
      <x:c r="I84" s="17" t="str">
        <x:f>IF(A84="","",IF(E84=0,"",G84/E84))</x:f>
      </x:c>
      <x:c r="J84" s="17" t="str">
        <x:f>IF(A84="","",IF(F84=0,"",(E84-F84)/F84))</x:f>
      </x:c>
      <x:c r="K84" s="11" t="str">
        <x:f>IF(A84="","",SUMIFS(Orders[Количество],Orders[Дата],"&gt;="&amp;'Настройки'!$B$4,Orders[Дата],"&lt;"&amp;('Настройки'!$B$5+1),Orders[SKU],A84,Orders[Статус],"Возврат"))</x:f>
      </x:c>
      <x:c r="L84" s="11" t="str">
        <x:f>IF(A84="","",SUMIFS(Orders[Количество],Orders[Дата],"&gt;="&amp;'Настройки'!$B$4,Orders[Дата],"&lt;"&amp;('Настройки'!$B$5+1),Orders[SKU],A84,Orders[Статус],"Отменён"))</x:f>
      </x:c>
      <x:c r="M84" s="16" t="str">
        <x:f>IF(A84="","",IF(D84=0,"",E84/D84))</x:f>
      </x:c>
      <x:c r="N84" s="17" t="str">
        <x:f>IF(A84="","",IF(F84=0,"",G84/F84))</x:f>
      </x:c>
      <x:c r="O84" s="11" t="str">
        <x:f>IF(A84="","",SUMIFS(Stock[Остаток],Stock[SKU],A84))</x:f>
      </x:c>
      <x:c r="P84" s="11" t="str">
        <x:f>IF(OR(A84="",E84=""),"",COUNTIFS(Products[Выручка],"&gt;"&amp;E84)+COUNTIFS($E$5:E84,E84,$A$5:A84,"&lt;&gt;"))</x:f>
      </x:c>
      <x:c r="Q84" s="11" t="str">
        <x:f>IF(OR(A84="",G84=""),"",COUNTIFS(Products[Прибыль],"&gt;"&amp;G84)+COUNTIFS($G$5:G84,G84,$A$5:A84,"&lt;&gt;"))</x:f>
      </x:c>
      <x:c r="R84" s="11" t="str">
        <x:f>IF(OR(A84="",I84=""),"",COUNTIFS(Products[Маржа],"&gt;"&amp;I84)+COUNTIFS($I$5:I84,I84,$A$5:A84,"&lt;&gt;"))</x:f>
      </x:c>
      <x:c r="S84" s="11" t="str">
        <x:f>IF(OR(A84="",J84=""),"",COUNTIFS(Products[Наценка],"&gt;"&amp;J84)+COUNTIFS($J$5:J84,J84,$A$5:A84,"&lt;&gt;"))</x:f>
      </x:c>
      <x:c r="T84" s="11" t="str">
        <x:f>IF(OR(A84="",H84&lt;=0),"",COUNTIFS(Products[Убыток],"&gt;"&amp;H84)+COUNTIFS($H$5:H84,H84,$A$5:A84,"&lt;&gt;"))</x:f>
      </x:c>
      <x:c r="U84" s="11" t="str">
        <x:f>IF(OR(A84="",K84&lt;=0),"",COUNTIFS(Products[Возвраты шт.],"&gt;"&amp;K84)+COUNTIFS($K$5:K84,K84,$A$5:A84,"&lt;&gt;"))</x:f>
      </x:c>
      <x:c r="V84" s="11" t="str">
        <x:f>IF(OR(A84="",L84&lt;=0),"",COUNTIFS(Products[Отмены шт.],"&gt;"&amp;L84)+COUNTIFS($L$5:L84,L84,$A$5:A84,"&lt;&gt;"))</x:f>
      </x:c>
    </x:row>
    <x:row r="85" ht="23" customHeight="1">
      <x:c r="A85" s="51"/>
      <x:c r="B85" s="51"/>
      <x:c r="C85" s="51"/>
      <x:c r="D85" s="11" t="str">
        <x:f>IF(A85="","",SUMIFS(Orders[Продано шт.],Orders[Дата],"&gt;="&amp;'Настройки'!$B$4,Orders[Дата],"&lt;"&amp;('Настройки'!$B$5+1),Orders[SKU],A85))</x:f>
      </x:c>
      <x:c r="E85" s="16" t="str">
        <x:f>IF(A85="","",SUMIFS(Orders[Выручка],Orders[Дата],"&gt;="&amp;'Настройки'!$B$4,Orders[Дата],"&lt;"&amp;('Настройки'!$B$5+1),Orders[SKU],A85))</x:f>
      </x:c>
      <x:c r="F85" s="16" t="str">
        <x:f>IF(A85="","",SUMIFS(Orders[Себестоимость],Orders[Дата],"&gt;="&amp;'Настройки'!$B$4,Orders[Дата],"&lt;"&amp;('Настройки'!$B$5+1),Orders[SKU],A85))</x:f>
      </x:c>
      <x:c r="G85" s="16" t="str">
        <x:f>IF(A85="","",SUMIFS(Orders[Прибыль],Orders[Дата],"&gt;="&amp;'Настройки'!$B$4,Orders[Дата],"&lt;"&amp;('Настройки'!$B$5+1),Orders[SKU],A85))</x:f>
      </x:c>
      <x:c r="H85" s="16" t="str">
        <x:f>IF(A85="","",MAX(0,-G85))</x:f>
      </x:c>
      <x:c r="I85" s="17" t="str">
        <x:f>IF(A85="","",IF(E85=0,"",G85/E85))</x:f>
      </x:c>
      <x:c r="J85" s="17" t="str">
        <x:f>IF(A85="","",IF(F85=0,"",(E85-F85)/F85))</x:f>
      </x:c>
      <x:c r="K85" s="11" t="str">
        <x:f>IF(A85="","",SUMIFS(Orders[Количество],Orders[Дата],"&gt;="&amp;'Настройки'!$B$4,Orders[Дата],"&lt;"&amp;('Настройки'!$B$5+1),Orders[SKU],A85,Orders[Статус],"Возврат"))</x:f>
      </x:c>
      <x:c r="L85" s="11" t="str">
        <x:f>IF(A85="","",SUMIFS(Orders[Количество],Orders[Дата],"&gt;="&amp;'Настройки'!$B$4,Orders[Дата],"&lt;"&amp;('Настройки'!$B$5+1),Orders[SKU],A85,Orders[Статус],"Отменён"))</x:f>
      </x:c>
      <x:c r="M85" s="16" t="str">
        <x:f>IF(A85="","",IF(D85=0,"",E85/D85))</x:f>
      </x:c>
      <x:c r="N85" s="17" t="str">
        <x:f>IF(A85="","",IF(F85=0,"",G85/F85))</x:f>
      </x:c>
      <x:c r="O85" s="11" t="str">
        <x:f>IF(A85="","",SUMIFS(Stock[Остаток],Stock[SKU],A85))</x:f>
      </x:c>
      <x:c r="P85" s="11" t="str">
        <x:f>IF(OR(A85="",E85=""),"",COUNTIFS(Products[Выручка],"&gt;"&amp;E85)+COUNTIFS($E$5:E85,E85,$A$5:A85,"&lt;&gt;"))</x:f>
      </x:c>
      <x:c r="Q85" s="11" t="str">
        <x:f>IF(OR(A85="",G85=""),"",COUNTIFS(Products[Прибыль],"&gt;"&amp;G85)+COUNTIFS($G$5:G85,G85,$A$5:A85,"&lt;&gt;"))</x:f>
      </x:c>
      <x:c r="R85" s="11" t="str">
        <x:f>IF(OR(A85="",I85=""),"",COUNTIFS(Products[Маржа],"&gt;"&amp;I85)+COUNTIFS($I$5:I85,I85,$A$5:A85,"&lt;&gt;"))</x:f>
      </x:c>
      <x:c r="S85" s="11" t="str">
        <x:f>IF(OR(A85="",J85=""),"",COUNTIFS(Products[Наценка],"&gt;"&amp;J85)+COUNTIFS($J$5:J85,J85,$A$5:A85,"&lt;&gt;"))</x:f>
      </x:c>
      <x:c r="T85" s="11" t="str">
        <x:f>IF(OR(A85="",H85&lt;=0),"",COUNTIFS(Products[Убыток],"&gt;"&amp;H85)+COUNTIFS($H$5:H85,H85,$A$5:A85,"&lt;&gt;"))</x:f>
      </x:c>
      <x:c r="U85" s="11" t="str">
        <x:f>IF(OR(A85="",K85&lt;=0),"",COUNTIFS(Products[Возвраты шт.],"&gt;"&amp;K85)+COUNTIFS($K$5:K85,K85,$A$5:A85,"&lt;&gt;"))</x:f>
      </x:c>
      <x:c r="V85" s="11" t="str">
        <x:f>IF(OR(A85="",L85&lt;=0),"",COUNTIFS(Products[Отмены шт.],"&gt;"&amp;L85)+COUNTIFS($L$5:L85,L85,$A$5:A85,"&lt;&gt;"))</x:f>
      </x:c>
    </x:row>
    <x:row r="86" ht="23" customHeight="1">
      <x:c r="A86" s="51"/>
      <x:c r="B86" s="51"/>
      <x:c r="C86" s="51"/>
      <x:c r="D86" s="11" t="str">
        <x:f>IF(A86="","",SUMIFS(Orders[Продано шт.],Orders[Дата],"&gt;="&amp;'Настройки'!$B$4,Orders[Дата],"&lt;"&amp;('Настройки'!$B$5+1),Orders[SKU],A86))</x:f>
      </x:c>
      <x:c r="E86" s="16" t="str">
        <x:f>IF(A86="","",SUMIFS(Orders[Выручка],Orders[Дата],"&gt;="&amp;'Настройки'!$B$4,Orders[Дата],"&lt;"&amp;('Настройки'!$B$5+1),Orders[SKU],A86))</x:f>
      </x:c>
      <x:c r="F86" s="16" t="str">
        <x:f>IF(A86="","",SUMIFS(Orders[Себестоимость],Orders[Дата],"&gt;="&amp;'Настройки'!$B$4,Orders[Дата],"&lt;"&amp;('Настройки'!$B$5+1),Orders[SKU],A86))</x:f>
      </x:c>
      <x:c r="G86" s="16" t="str">
        <x:f>IF(A86="","",SUMIFS(Orders[Прибыль],Orders[Дата],"&gt;="&amp;'Настройки'!$B$4,Orders[Дата],"&lt;"&amp;('Настройки'!$B$5+1),Orders[SKU],A86))</x:f>
      </x:c>
      <x:c r="H86" s="16" t="str">
        <x:f>IF(A86="","",MAX(0,-G86))</x:f>
      </x:c>
      <x:c r="I86" s="17" t="str">
        <x:f>IF(A86="","",IF(E86=0,"",G86/E86))</x:f>
      </x:c>
      <x:c r="J86" s="17" t="str">
        <x:f>IF(A86="","",IF(F86=0,"",(E86-F86)/F86))</x:f>
      </x:c>
      <x:c r="K86" s="11" t="str">
        <x:f>IF(A86="","",SUMIFS(Orders[Количество],Orders[Дата],"&gt;="&amp;'Настройки'!$B$4,Orders[Дата],"&lt;"&amp;('Настройки'!$B$5+1),Orders[SKU],A86,Orders[Статус],"Возврат"))</x:f>
      </x:c>
      <x:c r="L86" s="11" t="str">
        <x:f>IF(A86="","",SUMIFS(Orders[Количество],Orders[Дата],"&gt;="&amp;'Настройки'!$B$4,Orders[Дата],"&lt;"&amp;('Настройки'!$B$5+1),Orders[SKU],A86,Orders[Статус],"Отменён"))</x:f>
      </x:c>
      <x:c r="M86" s="16" t="str">
        <x:f>IF(A86="","",IF(D86=0,"",E86/D86))</x:f>
      </x:c>
      <x:c r="N86" s="17" t="str">
        <x:f>IF(A86="","",IF(F86=0,"",G86/F86))</x:f>
      </x:c>
      <x:c r="O86" s="11" t="str">
        <x:f>IF(A86="","",SUMIFS(Stock[Остаток],Stock[SKU],A86))</x:f>
      </x:c>
      <x:c r="P86" s="11" t="str">
        <x:f>IF(OR(A86="",E86=""),"",COUNTIFS(Products[Выручка],"&gt;"&amp;E86)+COUNTIFS($E$5:E86,E86,$A$5:A86,"&lt;&gt;"))</x:f>
      </x:c>
      <x:c r="Q86" s="11" t="str">
        <x:f>IF(OR(A86="",G86=""),"",COUNTIFS(Products[Прибыль],"&gt;"&amp;G86)+COUNTIFS($G$5:G86,G86,$A$5:A86,"&lt;&gt;"))</x:f>
      </x:c>
      <x:c r="R86" s="11" t="str">
        <x:f>IF(OR(A86="",I86=""),"",COUNTIFS(Products[Маржа],"&gt;"&amp;I86)+COUNTIFS($I$5:I86,I86,$A$5:A86,"&lt;&gt;"))</x:f>
      </x:c>
      <x:c r="S86" s="11" t="str">
        <x:f>IF(OR(A86="",J86=""),"",COUNTIFS(Products[Наценка],"&gt;"&amp;J86)+COUNTIFS($J$5:J86,J86,$A$5:A86,"&lt;&gt;"))</x:f>
      </x:c>
      <x:c r="T86" s="11" t="str">
        <x:f>IF(OR(A86="",H86&lt;=0),"",COUNTIFS(Products[Убыток],"&gt;"&amp;H86)+COUNTIFS($H$5:H86,H86,$A$5:A86,"&lt;&gt;"))</x:f>
      </x:c>
      <x:c r="U86" s="11" t="str">
        <x:f>IF(OR(A86="",K86&lt;=0),"",COUNTIFS(Products[Возвраты шт.],"&gt;"&amp;K86)+COUNTIFS($K$5:K86,K86,$A$5:A86,"&lt;&gt;"))</x:f>
      </x:c>
      <x:c r="V86" s="11" t="str">
        <x:f>IF(OR(A86="",L86&lt;=0),"",COUNTIFS(Products[Отмены шт.],"&gt;"&amp;L86)+COUNTIFS($L$5:L86,L86,$A$5:A86,"&lt;&gt;"))</x:f>
      </x:c>
    </x:row>
    <x:row r="87" ht="23" customHeight="1">
      <x:c r="A87" s="51"/>
      <x:c r="B87" s="51"/>
      <x:c r="C87" s="51"/>
      <x:c r="D87" s="11" t="str">
        <x:f>IF(A87="","",SUMIFS(Orders[Продано шт.],Orders[Дата],"&gt;="&amp;'Настройки'!$B$4,Orders[Дата],"&lt;"&amp;('Настройки'!$B$5+1),Orders[SKU],A87))</x:f>
      </x:c>
      <x:c r="E87" s="16" t="str">
        <x:f>IF(A87="","",SUMIFS(Orders[Выручка],Orders[Дата],"&gt;="&amp;'Настройки'!$B$4,Orders[Дата],"&lt;"&amp;('Настройки'!$B$5+1),Orders[SKU],A87))</x:f>
      </x:c>
      <x:c r="F87" s="16" t="str">
        <x:f>IF(A87="","",SUMIFS(Orders[Себестоимость],Orders[Дата],"&gt;="&amp;'Настройки'!$B$4,Orders[Дата],"&lt;"&amp;('Настройки'!$B$5+1),Orders[SKU],A87))</x:f>
      </x:c>
      <x:c r="G87" s="16" t="str">
        <x:f>IF(A87="","",SUMIFS(Orders[Прибыль],Orders[Дата],"&gt;="&amp;'Настройки'!$B$4,Orders[Дата],"&lt;"&amp;('Настройки'!$B$5+1),Orders[SKU],A87))</x:f>
      </x:c>
      <x:c r="H87" s="16" t="str">
        <x:f>IF(A87="","",MAX(0,-G87))</x:f>
      </x:c>
      <x:c r="I87" s="17" t="str">
        <x:f>IF(A87="","",IF(E87=0,"",G87/E87))</x:f>
      </x:c>
      <x:c r="J87" s="17" t="str">
        <x:f>IF(A87="","",IF(F87=0,"",(E87-F87)/F87))</x:f>
      </x:c>
      <x:c r="K87" s="11" t="str">
        <x:f>IF(A87="","",SUMIFS(Orders[Количество],Orders[Дата],"&gt;="&amp;'Настройки'!$B$4,Orders[Дата],"&lt;"&amp;('Настройки'!$B$5+1),Orders[SKU],A87,Orders[Статус],"Возврат"))</x:f>
      </x:c>
      <x:c r="L87" s="11" t="str">
        <x:f>IF(A87="","",SUMIFS(Orders[Количество],Orders[Дата],"&gt;="&amp;'Настройки'!$B$4,Orders[Дата],"&lt;"&amp;('Настройки'!$B$5+1),Orders[SKU],A87,Orders[Статус],"Отменён"))</x:f>
      </x:c>
      <x:c r="M87" s="16" t="str">
        <x:f>IF(A87="","",IF(D87=0,"",E87/D87))</x:f>
      </x:c>
      <x:c r="N87" s="17" t="str">
        <x:f>IF(A87="","",IF(F87=0,"",G87/F87))</x:f>
      </x:c>
      <x:c r="O87" s="11" t="str">
        <x:f>IF(A87="","",SUMIFS(Stock[Остаток],Stock[SKU],A87))</x:f>
      </x:c>
      <x:c r="P87" s="11" t="str">
        <x:f>IF(OR(A87="",E87=""),"",COUNTIFS(Products[Выручка],"&gt;"&amp;E87)+COUNTIFS($E$5:E87,E87,$A$5:A87,"&lt;&gt;"))</x:f>
      </x:c>
      <x:c r="Q87" s="11" t="str">
        <x:f>IF(OR(A87="",G87=""),"",COUNTIFS(Products[Прибыль],"&gt;"&amp;G87)+COUNTIFS($G$5:G87,G87,$A$5:A87,"&lt;&gt;"))</x:f>
      </x:c>
      <x:c r="R87" s="11" t="str">
        <x:f>IF(OR(A87="",I87=""),"",COUNTIFS(Products[Маржа],"&gt;"&amp;I87)+COUNTIFS($I$5:I87,I87,$A$5:A87,"&lt;&gt;"))</x:f>
      </x:c>
      <x:c r="S87" s="11" t="str">
        <x:f>IF(OR(A87="",J87=""),"",COUNTIFS(Products[Наценка],"&gt;"&amp;J87)+COUNTIFS($J$5:J87,J87,$A$5:A87,"&lt;&gt;"))</x:f>
      </x:c>
      <x:c r="T87" s="11" t="str">
        <x:f>IF(OR(A87="",H87&lt;=0),"",COUNTIFS(Products[Убыток],"&gt;"&amp;H87)+COUNTIFS($H$5:H87,H87,$A$5:A87,"&lt;&gt;"))</x:f>
      </x:c>
      <x:c r="U87" s="11" t="str">
        <x:f>IF(OR(A87="",K87&lt;=0),"",COUNTIFS(Products[Возвраты шт.],"&gt;"&amp;K87)+COUNTIFS($K$5:K87,K87,$A$5:A87,"&lt;&gt;"))</x:f>
      </x:c>
      <x:c r="V87" s="11" t="str">
        <x:f>IF(OR(A87="",L87&lt;=0),"",COUNTIFS(Products[Отмены шт.],"&gt;"&amp;L87)+COUNTIFS($L$5:L87,L87,$A$5:A87,"&lt;&gt;"))</x:f>
      </x:c>
    </x:row>
    <x:row r="88" ht="23" customHeight="1">
      <x:c r="A88" s="51"/>
      <x:c r="B88" s="51"/>
      <x:c r="C88" s="51"/>
      <x:c r="D88" s="11" t="str">
        <x:f>IF(A88="","",SUMIFS(Orders[Продано шт.],Orders[Дата],"&gt;="&amp;'Настройки'!$B$4,Orders[Дата],"&lt;"&amp;('Настройки'!$B$5+1),Orders[SKU],A88))</x:f>
      </x:c>
      <x:c r="E88" s="16" t="str">
        <x:f>IF(A88="","",SUMIFS(Orders[Выручка],Orders[Дата],"&gt;="&amp;'Настройки'!$B$4,Orders[Дата],"&lt;"&amp;('Настройки'!$B$5+1),Orders[SKU],A88))</x:f>
      </x:c>
      <x:c r="F88" s="16" t="str">
        <x:f>IF(A88="","",SUMIFS(Orders[Себестоимость],Orders[Дата],"&gt;="&amp;'Настройки'!$B$4,Orders[Дата],"&lt;"&amp;('Настройки'!$B$5+1),Orders[SKU],A88))</x:f>
      </x:c>
      <x:c r="G88" s="16" t="str">
        <x:f>IF(A88="","",SUMIFS(Orders[Прибыль],Orders[Дата],"&gt;="&amp;'Настройки'!$B$4,Orders[Дата],"&lt;"&amp;('Настройки'!$B$5+1),Orders[SKU],A88))</x:f>
      </x:c>
      <x:c r="H88" s="16" t="str">
        <x:f>IF(A88="","",MAX(0,-G88))</x:f>
      </x:c>
      <x:c r="I88" s="17" t="str">
        <x:f>IF(A88="","",IF(E88=0,"",G88/E88))</x:f>
      </x:c>
      <x:c r="J88" s="17" t="str">
        <x:f>IF(A88="","",IF(F88=0,"",(E88-F88)/F88))</x:f>
      </x:c>
      <x:c r="K88" s="11" t="str">
        <x:f>IF(A88="","",SUMIFS(Orders[Количество],Orders[Дата],"&gt;="&amp;'Настройки'!$B$4,Orders[Дата],"&lt;"&amp;('Настройки'!$B$5+1),Orders[SKU],A88,Orders[Статус],"Возврат"))</x:f>
      </x:c>
      <x:c r="L88" s="11" t="str">
        <x:f>IF(A88="","",SUMIFS(Orders[Количество],Orders[Дата],"&gt;="&amp;'Настройки'!$B$4,Orders[Дата],"&lt;"&amp;('Настройки'!$B$5+1),Orders[SKU],A88,Orders[Статус],"Отменён"))</x:f>
      </x:c>
      <x:c r="M88" s="16" t="str">
        <x:f>IF(A88="","",IF(D88=0,"",E88/D88))</x:f>
      </x:c>
      <x:c r="N88" s="17" t="str">
        <x:f>IF(A88="","",IF(F88=0,"",G88/F88))</x:f>
      </x:c>
      <x:c r="O88" s="11" t="str">
        <x:f>IF(A88="","",SUMIFS(Stock[Остаток],Stock[SKU],A88))</x:f>
      </x:c>
      <x:c r="P88" s="11" t="str">
        <x:f>IF(OR(A88="",E88=""),"",COUNTIFS(Products[Выручка],"&gt;"&amp;E88)+COUNTIFS($E$5:E88,E88,$A$5:A88,"&lt;&gt;"))</x:f>
      </x:c>
      <x:c r="Q88" s="11" t="str">
        <x:f>IF(OR(A88="",G88=""),"",COUNTIFS(Products[Прибыль],"&gt;"&amp;G88)+COUNTIFS($G$5:G88,G88,$A$5:A88,"&lt;&gt;"))</x:f>
      </x:c>
      <x:c r="R88" s="11" t="str">
        <x:f>IF(OR(A88="",I88=""),"",COUNTIFS(Products[Маржа],"&gt;"&amp;I88)+COUNTIFS($I$5:I88,I88,$A$5:A88,"&lt;&gt;"))</x:f>
      </x:c>
      <x:c r="S88" s="11" t="str">
        <x:f>IF(OR(A88="",J88=""),"",COUNTIFS(Products[Наценка],"&gt;"&amp;J88)+COUNTIFS($J$5:J88,J88,$A$5:A88,"&lt;&gt;"))</x:f>
      </x:c>
      <x:c r="T88" s="11" t="str">
        <x:f>IF(OR(A88="",H88&lt;=0),"",COUNTIFS(Products[Убыток],"&gt;"&amp;H88)+COUNTIFS($H$5:H88,H88,$A$5:A88,"&lt;&gt;"))</x:f>
      </x:c>
      <x:c r="U88" s="11" t="str">
        <x:f>IF(OR(A88="",K88&lt;=0),"",COUNTIFS(Products[Возвраты шт.],"&gt;"&amp;K88)+COUNTIFS($K$5:K88,K88,$A$5:A88,"&lt;&gt;"))</x:f>
      </x:c>
      <x:c r="V88" s="11" t="str">
        <x:f>IF(OR(A88="",L88&lt;=0),"",COUNTIFS(Products[Отмены шт.],"&gt;"&amp;L88)+COUNTIFS($L$5:L88,L88,$A$5:A88,"&lt;&gt;"))</x:f>
      </x:c>
    </x:row>
    <x:row r="89" ht="23" customHeight="1">
      <x:c r="A89" s="51"/>
      <x:c r="B89" s="51"/>
      <x:c r="C89" s="51"/>
      <x:c r="D89" s="11" t="str">
        <x:f>IF(A89="","",SUMIFS(Orders[Продано шт.],Orders[Дата],"&gt;="&amp;'Настройки'!$B$4,Orders[Дата],"&lt;"&amp;('Настройки'!$B$5+1),Orders[SKU],A89))</x:f>
      </x:c>
      <x:c r="E89" s="16" t="str">
        <x:f>IF(A89="","",SUMIFS(Orders[Выручка],Orders[Дата],"&gt;="&amp;'Настройки'!$B$4,Orders[Дата],"&lt;"&amp;('Настройки'!$B$5+1),Orders[SKU],A89))</x:f>
      </x:c>
      <x:c r="F89" s="16" t="str">
        <x:f>IF(A89="","",SUMIFS(Orders[Себестоимость],Orders[Дата],"&gt;="&amp;'Настройки'!$B$4,Orders[Дата],"&lt;"&amp;('Настройки'!$B$5+1),Orders[SKU],A89))</x:f>
      </x:c>
      <x:c r="G89" s="16" t="str">
        <x:f>IF(A89="","",SUMIFS(Orders[Прибыль],Orders[Дата],"&gt;="&amp;'Настройки'!$B$4,Orders[Дата],"&lt;"&amp;('Настройки'!$B$5+1),Orders[SKU],A89))</x:f>
      </x:c>
      <x:c r="H89" s="16" t="str">
        <x:f>IF(A89="","",MAX(0,-G89))</x:f>
      </x:c>
      <x:c r="I89" s="17" t="str">
        <x:f>IF(A89="","",IF(E89=0,"",G89/E89))</x:f>
      </x:c>
      <x:c r="J89" s="17" t="str">
        <x:f>IF(A89="","",IF(F89=0,"",(E89-F89)/F89))</x:f>
      </x:c>
      <x:c r="K89" s="11" t="str">
        <x:f>IF(A89="","",SUMIFS(Orders[Количество],Orders[Дата],"&gt;="&amp;'Настройки'!$B$4,Orders[Дата],"&lt;"&amp;('Настройки'!$B$5+1),Orders[SKU],A89,Orders[Статус],"Возврат"))</x:f>
      </x:c>
      <x:c r="L89" s="11" t="str">
        <x:f>IF(A89="","",SUMIFS(Orders[Количество],Orders[Дата],"&gt;="&amp;'Настройки'!$B$4,Orders[Дата],"&lt;"&amp;('Настройки'!$B$5+1),Orders[SKU],A89,Orders[Статус],"Отменён"))</x:f>
      </x:c>
      <x:c r="M89" s="16" t="str">
        <x:f>IF(A89="","",IF(D89=0,"",E89/D89))</x:f>
      </x:c>
      <x:c r="N89" s="17" t="str">
        <x:f>IF(A89="","",IF(F89=0,"",G89/F89))</x:f>
      </x:c>
      <x:c r="O89" s="11" t="str">
        <x:f>IF(A89="","",SUMIFS(Stock[Остаток],Stock[SKU],A89))</x:f>
      </x:c>
      <x:c r="P89" s="11" t="str">
        <x:f>IF(OR(A89="",E89=""),"",COUNTIFS(Products[Выручка],"&gt;"&amp;E89)+COUNTIFS($E$5:E89,E89,$A$5:A89,"&lt;&gt;"))</x:f>
      </x:c>
      <x:c r="Q89" s="11" t="str">
        <x:f>IF(OR(A89="",G89=""),"",COUNTIFS(Products[Прибыль],"&gt;"&amp;G89)+COUNTIFS($G$5:G89,G89,$A$5:A89,"&lt;&gt;"))</x:f>
      </x:c>
      <x:c r="R89" s="11" t="str">
        <x:f>IF(OR(A89="",I89=""),"",COUNTIFS(Products[Маржа],"&gt;"&amp;I89)+COUNTIFS($I$5:I89,I89,$A$5:A89,"&lt;&gt;"))</x:f>
      </x:c>
      <x:c r="S89" s="11" t="str">
        <x:f>IF(OR(A89="",J89=""),"",COUNTIFS(Products[Наценка],"&gt;"&amp;J89)+COUNTIFS($J$5:J89,J89,$A$5:A89,"&lt;&gt;"))</x:f>
      </x:c>
      <x:c r="T89" s="11" t="str">
        <x:f>IF(OR(A89="",H89&lt;=0),"",COUNTIFS(Products[Убыток],"&gt;"&amp;H89)+COUNTIFS($H$5:H89,H89,$A$5:A89,"&lt;&gt;"))</x:f>
      </x:c>
      <x:c r="U89" s="11" t="str">
        <x:f>IF(OR(A89="",K89&lt;=0),"",COUNTIFS(Products[Возвраты шт.],"&gt;"&amp;K89)+COUNTIFS($K$5:K89,K89,$A$5:A89,"&lt;&gt;"))</x:f>
      </x:c>
      <x:c r="V89" s="11" t="str">
        <x:f>IF(OR(A89="",L89&lt;=0),"",COUNTIFS(Products[Отмены шт.],"&gt;"&amp;L89)+COUNTIFS($L$5:L89,L89,$A$5:A89,"&lt;&gt;"))</x:f>
      </x:c>
    </x:row>
    <x:row r="90" ht="23" customHeight="1">
      <x:c r="A90" s="51"/>
      <x:c r="B90" s="51"/>
      <x:c r="C90" s="51"/>
      <x:c r="D90" s="11" t="str">
        <x:f>IF(A90="","",SUMIFS(Orders[Продано шт.],Orders[Дата],"&gt;="&amp;'Настройки'!$B$4,Orders[Дата],"&lt;"&amp;('Настройки'!$B$5+1),Orders[SKU],A90))</x:f>
      </x:c>
      <x:c r="E90" s="16" t="str">
        <x:f>IF(A90="","",SUMIFS(Orders[Выручка],Orders[Дата],"&gt;="&amp;'Настройки'!$B$4,Orders[Дата],"&lt;"&amp;('Настройки'!$B$5+1),Orders[SKU],A90))</x:f>
      </x:c>
      <x:c r="F90" s="16" t="str">
        <x:f>IF(A90="","",SUMIFS(Orders[Себестоимость],Orders[Дата],"&gt;="&amp;'Настройки'!$B$4,Orders[Дата],"&lt;"&amp;('Настройки'!$B$5+1),Orders[SKU],A90))</x:f>
      </x:c>
      <x:c r="G90" s="16" t="str">
        <x:f>IF(A90="","",SUMIFS(Orders[Прибыль],Orders[Дата],"&gt;="&amp;'Настройки'!$B$4,Orders[Дата],"&lt;"&amp;('Настройки'!$B$5+1),Orders[SKU],A90))</x:f>
      </x:c>
      <x:c r="H90" s="16" t="str">
        <x:f>IF(A90="","",MAX(0,-G90))</x:f>
      </x:c>
      <x:c r="I90" s="17" t="str">
        <x:f>IF(A90="","",IF(E90=0,"",G90/E90))</x:f>
      </x:c>
      <x:c r="J90" s="17" t="str">
        <x:f>IF(A90="","",IF(F90=0,"",(E90-F90)/F90))</x:f>
      </x:c>
      <x:c r="K90" s="11" t="str">
        <x:f>IF(A90="","",SUMIFS(Orders[Количество],Orders[Дата],"&gt;="&amp;'Настройки'!$B$4,Orders[Дата],"&lt;"&amp;('Настройки'!$B$5+1),Orders[SKU],A90,Orders[Статус],"Возврат"))</x:f>
      </x:c>
      <x:c r="L90" s="11" t="str">
        <x:f>IF(A90="","",SUMIFS(Orders[Количество],Orders[Дата],"&gt;="&amp;'Настройки'!$B$4,Orders[Дата],"&lt;"&amp;('Настройки'!$B$5+1),Orders[SKU],A90,Orders[Статус],"Отменён"))</x:f>
      </x:c>
      <x:c r="M90" s="16" t="str">
        <x:f>IF(A90="","",IF(D90=0,"",E90/D90))</x:f>
      </x:c>
      <x:c r="N90" s="17" t="str">
        <x:f>IF(A90="","",IF(F90=0,"",G90/F90))</x:f>
      </x:c>
      <x:c r="O90" s="11" t="str">
        <x:f>IF(A90="","",SUMIFS(Stock[Остаток],Stock[SKU],A90))</x:f>
      </x:c>
      <x:c r="P90" s="11" t="str">
        <x:f>IF(OR(A90="",E90=""),"",COUNTIFS(Products[Выручка],"&gt;"&amp;E90)+COUNTIFS($E$5:E90,E90,$A$5:A90,"&lt;&gt;"))</x:f>
      </x:c>
      <x:c r="Q90" s="11" t="str">
        <x:f>IF(OR(A90="",G90=""),"",COUNTIFS(Products[Прибыль],"&gt;"&amp;G90)+COUNTIFS($G$5:G90,G90,$A$5:A90,"&lt;&gt;"))</x:f>
      </x:c>
      <x:c r="R90" s="11" t="str">
        <x:f>IF(OR(A90="",I90=""),"",COUNTIFS(Products[Маржа],"&gt;"&amp;I90)+COUNTIFS($I$5:I90,I90,$A$5:A90,"&lt;&gt;"))</x:f>
      </x:c>
      <x:c r="S90" s="11" t="str">
        <x:f>IF(OR(A90="",J90=""),"",COUNTIFS(Products[Наценка],"&gt;"&amp;J90)+COUNTIFS($J$5:J90,J90,$A$5:A90,"&lt;&gt;"))</x:f>
      </x:c>
      <x:c r="T90" s="11" t="str">
        <x:f>IF(OR(A90="",H90&lt;=0),"",COUNTIFS(Products[Убыток],"&gt;"&amp;H90)+COUNTIFS($H$5:H90,H90,$A$5:A90,"&lt;&gt;"))</x:f>
      </x:c>
      <x:c r="U90" s="11" t="str">
        <x:f>IF(OR(A90="",K90&lt;=0),"",COUNTIFS(Products[Возвраты шт.],"&gt;"&amp;K90)+COUNTIFS($K$5:K90,K90,$A$5:A90,"&lt;&gt;"))</x:f>
      </x:c>
      <x:c r="V90" s="11" t="str">
        <x:f>IF(OR(A90="",L90&lt;=0),"",COUNTIFS(Products[Отмены шт.],"&gt;"&amp;L90)+COUNTIFS($L$5:L90,L90,$A$5:A90,"&lt;&gt;"))</x:f>
      </x:c>
    </x:row>
    <x:row r="91" ht="23" customHeight="1">
      <x:c r="A91" s="51"/>
      <x:c r="B91" s="51"/>
      <x:c r="C91" s="51"/>
      <x:c r="D91" s="11" t="str">
        <x:f>IF(A91="","",SUMIFS(Orders[Продано шт.],Orders[Дата],"&gt;="&amp;'Настройки'!$B$4,Orders[Дата],"&lt;"&amp;('Настройки'!$B$5+1),Orders[SKU],A91))</x:f>
      </x:c>
      <x:c r="E91" s="16" t="str">
        <x:f>IF(A91="","",SUMIFS(Orders[Выручка],Orders[Дата],"&gt;="&amp;'Настройки'!$B$4,Orders[Дата],"&lt;"&amp;('Настройки'!$B$5+1),Orders[SKU],A91))</x:f>
      </x:c>
      <x:c r="F91" s="16" t="str">
        <x:f>IF(A91="","",SUMIFS(Orders[Себестоимость],Orders[Дата],"&gt;="&amp;'Настройки'!$B$4,Orders[Дата],"&lt;"&amp;('Настройки'!$B$5+1),Orders[SKU],A91))</x:f>
      </x:c>
      <x:c r="G91" s="16" t="str">
        <x:f>IF(A91="","",SUMIFS(Orders[Прибыль],Orders[Дата],"&gt;="&amp;'Настройки'!$B$4,Orders[Дата],"&lt;"&amp;('Настройки'!$B$5+1),Orders[SKU],A91))</x:f>
      </x:c>
      <x:c r="H91" s="16" t="str">
        <x:f>IF(A91="","",MAX(0,-G91))</x:f>
      </x:c>
      <x:c r="I91" s="17" t="str">
        <x:f>IF(A91="","",IF(E91=0,"",G91/E91))</x:f>
      </x:c>
      <x:c r="J91" s="17" t="str">
        <x:f>IF(A91="","",IF(F91=0,"",(E91-F91)/F91))</x:f>
      </x:c>
      <x:c r="K91" s="11" t="str">
        <x:f>IF(A91="","",SUMIFS(Orders[Количество],Orders[Дата],"&gt;="&amp;'Настройки'!$B$4,Orders[Дата],"&lt;"&amp;('Настройки'!$B$5+1),Orders[SKU],A91,Orders[Статус],"Возврат"))</x:f>
      </x:c>
      <x:c r="L91" s="11" t="str">
        <x:f>IF(A91="","",SUMIFS(Orders[Количество],Orders[Дата],"&gt;="&amp;'Настройки'!$B$4,Orders[Дата],"&lt;"&amp;('Настройки'!$B$5+1),Orders[SKU],A91,Orders[Статус],"Отменён"))</x:f>
      </x:c>
      <x:c r="M91" s="16" t="str">
        <x:f>IF(A91="","",IF(D91=0,"",E91/D91))</x:f>
      </x:c>
      <x:c r="N91" s="17" t="str">
        <x:f>IF(A91="","",IF(F91=0,"",G91/F91))</x:f>
      </x:c>
      <x:c r="O91" s="11" t="str">
        <x:f>IF(A91="","",SUMIFS(Stock[Остаток],Stock[SKU],A91))</x:f>
      </x:c>
      <x:c r="P91" s="11" t="str">
        <x:f>IF(OR(A91="",E91=""),"",COUNTIFS(Products[Выручка],"&gt;"&amp;E91)+COUNTIFS($E$5:E91,E91,$A$5:A91,"&lt;&gt;"))</x:f>
      </x:c>
      <x:c r="Q91" s="11" t="str">
        <x:f>IF(OR(A91="",G91=""),"",COUNTIFS(Products[Прибыль],"&gt;"&amp;G91)+COUNTIFS($G$5:G91,G91,$A$5:A91,"&lt;&gt;"))</x:f>
      </x:c>
      <x:c r="R91" s="11" t="str">
        <x:f>IF(OR(A91="",I91=""),"",COUNTIFS(Products[Маржа],"&gt;"&amp;I91)+COUNTIFS($I$5:I91,I91,$A$5:A91,"&lt;&gt;"))</x:f>
      </x:c>
      <x:c r="S91" s="11" t="str">
        <x:f>IF(OR(A91="",J91=""),"",COUNTIFS(Products[Наценка],"&gt;"&amp;J91)+COUNTIFS($J$5:J91,J91,$A$5:A91,"&lt;&gt;"))</x:f>
      </x:c>
      <x:c r="T91" s="11" t="str">
        <x:f>IF(OR(A91="",H91&lt;=0),"",COUNTIFS(Products[Убыток],"&gt;"&amp;H91)+COUNTIFS($H$5:H91,H91,$A$5:A91,"&lt;&gt;"))</x:f>
      </x:c>
      <x:c r="U91" s="11" t="str">
        <x:f>IF(OR(A91="",K91&lt;=0),"",COUNTIFS(Products[Возвраты шт.],"&gt;"&amp;K91)+COUNTIFS($K$5:K91,K91,$A$5:A91,"&lt;&gt;"))</x:f>
      </x:c>
      <x:c r="V91" s="11" t="str">
        <x:f>IF(OR(A91="",L91&lt;=0),"",COUNTIFS(Products[Отмены шт.],"&gt;"&amp;L91)+COUNTIFS($L$5:L91,L91,$A$5:A91,"&lt;&gt;"))</x:f>
      </x:c>
    </x:row>
    <x:row r="92" ht="23" customHeight="1">
      <x:c r="A92" s="51"/>
      <x:c r="B92" s="51"/>
      <x:c r="C92" s="51"/>
      <x:c r="D92" s="11" t="str">
        <x:f>IF(A92="","",SUMIFS(Orders[Продано шт.],Orders[Дата],"&gt;="&amp;'Настройки'!$B$4,Orders[Дата],"&lt;"&amp;('Настройки'!$B$5+1),Orders[SKU],A92))</x:f>
      </x:c>
      <x:c r="E92" s="16" t="str">
        <x:f>IF(A92="","",SUMIFS(Orders[Выручка],Orders[Дата],"&gt;="&amp;'Настройки'!$B$4,Orders[Дата],"&lt;"&amp;('Настройки'!$B$5+1),Orders[SKU],A92))</x:f>
      </x:c>
      <x:c r="F92" s="16" t="str">
        <x:f>IF(A92="","",SUMIFS(Orders[Себестоимость],Orders[Дата],"&gt;="&amp;'Настройки'!$B$4,Orders[Дата],"&lt;"&amp;('Настройки'!$B$5+1),Orders[SKU],A92))</x:f>
      </x:c>
      <x:c r="G92" s="16" t="str">
        <x:f>IF(A92="","",SUMIFS(Orders[Прибыль],Orders[Дата],"&gt;="&amp;'Настройки'!$B$4,Orders[Дата],"&lt;"&amp;('Настройки'!$B$5+1),Orders[SKU],A92))</x:f>
      </x:c>
      <x:c r="H92" s="16" t="str">
        <x:f>IF(A92="","",MAX(0,-G92))</x:f>
      </x:c>
      <x:c r="I92" s="17" t="str">
        <x:f>IF(A92="","",IF(E92=0,"",G92/E92))</x:f>
      </x:c>
      <x:c r="J92" s="17" t="str">
        <x:f>IF(A92="","",IF(F92=0,"",(E92-F92)/F92))</x:f>
      </x:c>
      <x:c r="K92" s="11" t="str">
        <x:f>IF(A92="","",SUMIFS(Orders[Количество],Orders[Дата],"&gt;="&amp;'Настройки'!$B$4,Orders[Дата],"&lt;"&amp;('Настройки'!$B$5+1),Orders[SKU],A92,Orders[Статус],"Возврат"))</x:f>
      </x:c>
      <x:c r="L92" s="11" t="str">
        <x:f>IF(A92="","",SUMIFS(Orders[Количество],Orders[Дата],"&gt;="&amp;'Настройки'!$B$4,Orders[Дата],"&lt;"&amp;('Настройки'!$B$5+1),Orders[SKU],A92,Orders[Статус],"Отменён"))</x:f>
      </x:c>
      <x:c r="M92" s="16" t="str">
        <x:f>IF(A92="","",IF(D92=0,"",E92/D92))</x:f>
      </x:c>
      <x:c r="N92" s="17" t="str">
        <x:f>IF(A92="","",IF(F92=0,"",G92/F92))</x:f>
      </x:c>
      <x:c r="O92" s="11" t="str">
        <x:f>IF(A92="","",SUMIFS(Stock[Остаток],Stock[SKU],A92))</x:f>
      </x:c>
      <x:c r="P92" s="11" t="str">
        <x:f>IF(OR(A92="",E92=""),"",COUNTIFS(Products[Выручка],"&gt;"&amp;E92)+COUNTIFS($E$5:E92,E92,$A$5:A92,"&lt;&gt;"))</x:f>
      </x:c>
      <x:c r="Q92" s="11" t="str">
        <x:f>IF(OR(A92="",G92=""),"",COUNTIFS(Products[Прибыль],"&gt;"&amp;G92)+COUNTIFS($G$5:G92,G92,$A$5:A92,"&lt;&gt;"))</x:f>
      </x:c>
      <x:c r="R92" s="11" t="str">
        <x:f>IF(OR(A92="",I92=""),"",COUNTIFS(Products[Маржа],"&gt;"&amp;I92)+COUNTIFS($I$5:I92,I92,$A$5:A92,"&lt;&gt;"))</x:f>
      </x:c>
      <x:c r="S92" s="11" t="str">
        <x:f>IF(OR(A92="",J92=""),"",COUNTIFS(Products[Наценка],"&gt;"&amp;J92)+COUNTIFS($J$5:J92,J92,$A$5:A92,"&lt;&gt;"))</x:f>
      </x:c>
      <x:c r="T92" s="11" t="str">
        <x:f>IF(OR(A92="",H92&lt;=0),"",COUNTIFS(Products[Убыток],"&gt;"&amp;H92)+COUNTIFS($H$5:H92,H92,$A$5:A92,"&lt;&gt;"))</x:f>
      </x:c>
      <x:c r="U92" s="11" t="str">
        <x:f>IF(OR(A92="",K92&lt;=0),"",COUNTIFS(Products[Возвраты шт.],"&gt;"&amp;K92)+COUNTIFS($K$5:K92,K92,$A$5:A92,"&lt;&gt;"))</x:f>
      </x:c>
      <x:c r="V92" s="11" t="str">
        <x:f>IF(OR(A92="",L92&lt;=0),"",COUNTIFS(Products[Отмены шт.],"&gt;"&amp;L92)+COUNTIFS($L$5:L92,L92,$A$5:A92,"&lt;&gt;"))</x:f>
      </x:c>
    </x:row>
    <x:row r="93" ht="23" customHeight="1">
      <x:c r="A93" s="51"/>
      <x:c r="B93" s="51"/>
      <x:c r="C93" s="51"/>
      <x:c r="D93" s="11" t="str">
        <x:f>IF(A93="","",SUMIFS(Orders[Продано шт.],Orders[Дата],"&gt;="&amp;'Настройки'!$B$4,Orders[Дата],"&lt;"&amp;('Настройки'!$B$5+1),Orders[SKU],A93))</x:f>
      </x:c>
      <x:c r="E93" s="16" t="str">
        <x:f>IF(A93="","",SUMIFS(Orders[Выручка],Orders[Дата],"&gt;="&amp;'Настройки'!$B$4,Orders[Дата],"&lt;"&amp;('Настройки'!$B$5+1),Orders[SKU],A93))</x:f>
      </x:c>
      <x:c r="F93" s="16" t="str">
        <x:f>IF(A93="","",SUMIFS(Orders[Себестоимость],Orders[Дата],"&gt;="&amp;'Настройки'!$B$4,Orders[Дата],"&lt;"&amp;('Настройки'!$B$5+1),Orders[SKU],A93))</x:f>
      </x:c>
      <x:c r="G93" s="16" t="str">
        <x:f>IF(A93="","",SUMIFS(Orders[Прибыль],Orders[Дата],"&gt;="&amp;'Настройки'!$B$4,Orders[Дата],"&lt;"&amp;('Настройки'!$B$5+1),Orders[SKU],A93))</x:f>
      </x:c>
      <x:c r="H93" s="16" t="str">
        <x:f>IF(A93="","",MAX(0,-G93))</x:f>
      </x:c>
      <x:c r="I93" s="17" t="str">
        <x:f>IF(A93="","",IF(E93=0,"",G93/E93))</x:f>
      </x:c>
      <x:c r="J93" s="17" t="str">
        <x:f>IF(A93="","",IF(F93=0,"",(E93-F93)/F93))</x:f>
      </x:c>
      <x:c r="K93" s="11" t="str">
        <x:f>IF(A93="","",SUMIFS(Orders[Количество],Orders[Дата],"&gt;="&amp;'Настройки'!$B$4,Orders[Дата],"&lt;"&amp;('Настройки'!$B$5+1),Orders[SKU],A93,Orders[Статус],"Возврат"))</x:f>
      </x:c>
      <x:c r="L93" s="11" t="str">
        <x:f>IF(A93="","",SUMIFS(Orders[Количество],Orders[Дата],"&gt;="&amp;'Настройки'!$B$4,Orders[Дата],"&lt;"&amp;('Настройки'!$B$5+1),Orders[SKU],A93,Orders[Статус],"Отменён"))</x:f>
      </x:c>
      <x:c r="M93" s="16" t="str">
        <x:f>IF(A93="","",IF(D93=0,"",E93/D93))</x:f>
      </x:c>
      <x:c r="N93" s="17" t="str">
        <x:f>IF(A93="","",IF(F93=0,"",G93/F93))</x:f>
      </x:c>
      <x:c r="O93" s="11" t="str">
        <x:f>IF(A93="","",SUMIFS(Stock[Остаток],Stock[SKU],A93))</x:f>
      </x:c>
      <x:c r="P93" s="11" t="str">
        <x:f>IF(OR(A93="",E93=""),"",COUNTIFS(Products[Выручка],"&gt;"&amp;E93)+COUNTIFS($E$5:E93,E93,$A$5:A93,"&lt;&gt;"))</x:f>
      </x:c>
      <x:c r="Q93" s="11" t="str">
        <x:f>IF(OR(A93="",G93=""),"",COUNTIFS(Products[Прибыль],"&gt;"&amp;G93)+COUNTIFS($G$5:G93,G93,$A$5:A93,"&lt;&gt;"))</x:f>
      </x:c>
      <x:c r="R93" s="11" t="str">
        <x:f>IF(OR(A93="",I93=""),"",COUNTIFS(Products[Маржа],"&gt;"&amp;I93)+COUNTIFS($I$5:I93,I93,$A$5:A93,"&lt;&gt;"))</x:f>
      </x:c>
      <x:c r="S93" s="11" t="str">
        <x:f>IF(OR(A93="",J93=""),"",COUNTIFS(Products[Наценка],"&gt;"&amp;J93)+COUNTIFS($J$5:J93,J93,$A$5:A93,"&lt;&gt;"))</x:f>
      </x:c>
      <x:c r="T93" s="11" t="str">
        <x:f>IF(OR(A93="",H93&lt;=0),"",COUNTIFS(Products[Убыток],"&gt;"&amp;H93)+COUNTIFS($H$5:H93,H93,$A$5:A93,"&lt;&gt;"))</x:f>
      </x:c>
      <x:c r="U93" s="11" t="str">
        <x:f>IF(OR(A93="",K93&lt;=0),"",COUNTIFS(Products[Возвраты шт.],"&gt;"&amp;K93)+COUNTIFS($K$5:K93,K93,$A$5:A93,"&lt;&gt;"))</x:f>
      </x:c>
      <x:c r="V93" s="11" t="str">
        <x:f>IF(OR(A93="",L93&lt;=0),"",COUNTIFS(Products[Отмены шт.],"&gt;"&amp;L93)+COUNTIFS($L$5:L93,L93,$A$5:A93,"&lt;&gt;"))</x:f>
      </x:c>
    </x:row>
    <x:row r="94" ht="23" customHeight="1">
      <x:c r="A94" s="51"/>
      <x:c r="B94" s="51"/>
      <x:c r="C94" s="51"/>
      <x:c r="D94" s="11" t="str">
        <x:f>IF(A94="","",SUMIFS(Orders[Продано шт.],Orders[Дата],"&gt;="&amp;'Настройки'!$B$4,Orders[Дата],"&lt;"&amp;('Настройки'!$B$5+1),Orders[SKU],A94))</x:f>
      </x:c>
      <x:c r="E94" s="16" t="str">
        <x:f>IF(A94="","",SUMIFS(Orders[Выручка],Orders[Дата],"&gt;="&amp;'Настройки'!$B$4,Orders[Дата],"&lt;"&amp;('Настройки'!$B$5+1),Orders[SKU],A94))</x:f>
      </x:c>
      <x:c r="F94" s="16" t="str">
        <x:f>IF(A94="","",SUMIFS(Orders[Себестоимость],Orders[Дата],"&gt;="&amp;'Настройки'!$B$4,Orders[Дата],"&lt;"&amp;('Настройки'!$B$5+1),Orders[SKU],A94))</x:f>
      </x:c>
      <x:c r="G94" s="16" t="str">
        <x:f>IF(A94="","",SUMIFS(Orders[Прибыль],Orders[Дата],"&gt;="&amp;'Настройки'!$B$4,Orders[Дата],"&lt;"&amp;('Настройки'!$B$5+1),Orders[SKU],A94))</x:f>
      </x:c>
      <x:c r="H94" s="16" t="str">
        <x:f>IF(A94="","",MAX(0,-G94))</x:f>
      </x:c>
      <x:c r="I94" s="17" t="str">
        <x:f>IF(A94="","",IF(E94=0,"",G94/E94))</x:f>
      </x:c>
      <x:c r="J94" s="17" t="str">
        <x:f>IF(A94="","",IF(F94=0,"",(E94-F94)/F94))</x:f>
      </x:c>
      <x:c r="K94" s="11" t="str">
        <x:f>IF(A94="","",SUMIFS(Orders[Количество],Orders[Дата],"&gt;="&amp;'Настройки'!$B$4,Orders[Дата],"&lt;"&amp;('Настройки'!$B$5+1),Orders[SKU],A94,Orders[Статус],"Возврат"))</x:f>
      </x:c>
      <x:c r="L94" s="11" t="str">
        <x:f>IF(A94="","",SUMIFS(Orders[Количество],Orders[Дата],"&gt;="&amp;'Настройки'!$B$4,Orders[Дата],"&lt;"&amp;('Настройки'!$B$5+1),Orders[SKU],A94,Orders[Статус],"Отменён"))</x:f>
      </x:c>
      <x:c r="M94" s="16" t="str">
        <x:f>IF(A94="","",IF(D94=0,"",E94/D94))</x:f>
      </x:c>
      <x:c r="N94" s="17" t="str">
        <x:f>IF(A94="","",IF(F94=0,"",G94/F94))</x:f>
      </x:c>
      <x:c r="O94" s="11" t="str">
        <x:f>IF(A94="","",SUMIFS(Stock[Остаток],Stock[SKU],A94))</x:f>
      </x:c>
      <x:c r="P94" s="11" t="str">
        <x:f>IF(OR(A94="",E94=""),"",COUNTIFS(Products[Выручка],"&gt;"&amp;E94)+COUNTIFS($E$5:E94,E94,$A$5:A94,"&lt;&gt;"))</x:f>
      </x:c>
      <x:c r="Q94" s="11" t="str">
        <x:f>IF(OR(A94="",G94=""),"",COUNTIFS(Products[Прибыль],"&gt;"&amp;G94)+COUNTIFS($G$5:G94,G94,$A$5:A94,"&lt;&gt;"))</x:f>
      </x:c>
      <x:c r="R94" s="11" t="str">
        <x:f>IF(OR(A94="",I94=""),"",COUNTIFS(Products[Маржа],"&gt;"&amp;I94)+COUNTIFS($I$5:I94,I94,$A$5:A94,"&lt;&gt;"))</x:f>
      </x:c>
      <x:c r="S94" s="11" t="str">
        <x:f>IF(OR(A94="",J94=""),"",COUNTIFS(Products[Наценка],"&gt;"&amp;J94)+COUNTIFS($J$5:J94,J94,$A$5:A94,"&lt;&gt;"))</x:f>
      </x:c>
      <x:c r="T94" s="11" t="str">
        <x:f>IF(OR(A94="",H94&lt;=0),"",COUNTIFS(Products[Убыток],"&gt;"&amp;H94)+COUNTIFS($H$5:H94,H94,$A$5:A94,"&lt;&gt;"))</x:f>
      </x:c>
      <x:c r="U94" s="11" t="str">
        <x:f>IF(OR(A94="",K94&lt;=0),"",COUNTIFS(Products[Возвраты шт.],"&gt;"&amp;K94)+COUNTIFS($K$5:K94,K94,$A$5:A94,"&lt;&gt;"))</x:f>
      </x:c>
      <x:c r="V94" s="11" t="str">
        <x:f>IF(OR(A94="",L94&lt;=0),"",COUNTIFS(Products[Отмены шт.],"&gt;"&amp;L94)+COUNTIFS($L$5:L94,L94,$A$5:A94,"&lt;&gt;"))</x:f>
      </x:c>
    </x:row>
    <x:row r="95" ht="23" customHeight="1">
      <x:c r="A95" s="51"/>
      <x:c r="B95" s="51"/>
      <x:c r="C95" s="51"/>
      <x:c r="D95" s="11" t="str">
        <x:f>IF(A95="","",SUMIFS(Orders[Продано шт.],Orders[Дата],"&gt;="&amp;'Настройки'!$B$4,Orders[Дата],"&lt;"&amp;('Настройки'!$B$5+1),Orders[SKU],A95))</x:f>
      </x:c>
      <x:c r="E95" s="16" t="str">
        <x:f>IF(A95="","",SUMIFS(Orders[Выручка],Orders[Дата],"&gt;="&amp;'Настройки'!$B$4,Orders[Дата],"&lt;"&amp;('Настройки'!$B$5+1),Orders[SKU],A95))</x:f>
      </x:c>
      <x:c r="F95" s="16" t="str">
        <x:f>IF(A95="","",SUMIFS(Orders[Себестоимость],Orders[Дата],"&gt;="&amp;'Настройки'!$B$4,Orders[Дата],"&lt;"&amp;('Настройки'!$B$5+1),Orders[SKU],A95))</x:f>
      </x:c>
      <x:c r="G95" s="16" t="str">
        <x:f>IF(A95="","",SUMIFS(Orders[Прибыль],Orders[Дата],"&gt;="&amp;'Настройки'!$B$4,Orders[Дата],"&lt;"&amp;('Настройки'!$B$5+1),Orders[SKU],A95))</x:f>
      </x:c>
      <x:c r="H95" s="16" t="str">
        <x:f>IF(A95="","",MAX(0,-G95))</x:f>
      </x:c>
      <x:c r="I95" s="17" t="str">
        <x:f>IF(A95="","",IF(E95=0,"",G95/E95))</x:f>
      </x:c>
      <x:c r="J95" s="17" t="str">
        <x:f>IF(A95="","",IF(F95=0,"",(E95-F95)/F95))</x:f>
      </x:c>
      <x:c r="K95" s="11" t="str">
        <x:f>IF(A95="","",SUMIFS(Orders[Количество],Orders[Дата],"&gt;="&amp;'Настройки'!$B$4,Orders[Дата],"&lt;"&amp;('Настройки'!$B$5+1),Orders[SKU],A95,Orders[Статус],"Возврат"))</x:f>
      </x:c>
      <x:c r="L95" s="11" t="str">
        <x:f>IF(A95="","",SUMIFS(Orders[Количество],Orders[Дата],"&gt;="&amp;'Настройки'!$B$4,Orders[Дата],"&lt;"&amp;('Настройки'!$B$5+1),Orders[SKU],A95,Orders[Статус],"Отменён"))</x:f>
      </x:c>
      <x:c r="M95" s="16" t="str">
        <x:f>IF(A95="","",IF(D95=0,"",E95/D95))</x:f>
      </x:c>
      <x:c r="N95" s="17" t="str">
        <x:f>IF(A95="","",IF(F95=0,"",G95/F95))</x:f>
      </x:c>
      <x:c r="O95" s="11" t="str">
        <x:f>IF(A95="","",SUMIFS(Stock[Остаток],Stock[SKU],A95))</x:f>
      </x:c>
      <x:c r="P95" s="11" t="str">
        <x:f>IF(OR(A95="",E95=""),"",COUNTIFS(Products[Выручка],"&gt;"&amp;E95)+COUNTIFS($E$5:E95,E95,$A$5:A95,"&lt;&gt;"))</x:f>
      </x:c>
      <x:c r="Q95" s="11" t="str">
        <x:f>IF(OR(A95="",G95=""),"",COUNTIFS(Products[Прибыль],"&gt;"&amp;G95)+COUNTIFS($G$5:G95,G95,$A$5:A95,"&lt;&gt;"))</x:f>
      </x:c>
      <x:c r="R95" s="11" t="str">
        <x:f>IF(OR(A95="",I95=""),"",COUNTIFS(Products[Маржа],"&gt;"&amp;I95)+COUNTIFS($I$5:I95,I95,$A$5:A95,"&lt;&gt;"))</x:f>
      </x:c>
      <x:c r="S95" s="11" t="str">
        <x:f>IF(OR(A95="",J95=""),"",COUNTIFS(Products[Наценка],"&gt;"&amp;J95)+COUNTIFS($J$5:J95,J95,$A$5:A95,"&lt;&gt;"))</x:f>
      </x:c>
      <x:c r="T95" s="11" t="str">
        <x:f>IF(OR(A95="",H95&lt;=0),"",COUNTIFS(Products[Убыток],"&gt;"&amp;H95)+COUNTIFS($H$5:H95,H95,$A$5:A95,"&lt;&gt;"))</x:f>
      </x:c>
      <x:c r="U95" s="11" t="str">
        <x:f>IF(OR(A95="",K95&lt;=0),"",COUNTIFS(Products[Возвраты шт.],"&gt;"&amp;K95)+COUNTIFS($K$5:K95,K95,$A$5:A95,"&lt;&gt;"))</x:f>
      </x:c>
      <x:c r="V95" s="11" t="str">
        <x:f>IF(OR(A95="",L95&lt;=0),"",COUNTIFS(Products[Отмены шт.],"&gt;"&amp;L95)+COUNTIFS($L$5:L95,L95,$A$5:A95,"&lt;&gt;"))</x:f>
      </x:c>
    </x:row>
    <x:row r="96" ht="23" customHeight="1">
      <x:c r="A96" s="51"/>
      <x:c r="B96" s="51"/>
      <x:c r="C96" s="51"/>
      <x:c r="D96" s="11" t="str">
        <x:f>IF(A96="","",SUMIFS(Orders[Продано шт.],Orders[Дата],"&gt;="&amp;'Настройки'!$B$4,Orders[Дата],"&lt;"&amp;('Настройки'!$B$5+1),Orders[SKU],A96))</x:f>
      </x:c>
      <x:c r="E96" s="16" t="str">
        <x:f>IF(A96="","",SUMIFS(Orders[Выручка],Orders[Дата],"&gt;="&amp;'Настройки'!$B$4,Orders[Дата],"&lt;"&amp;('Настройки'!$B$5+1),Orders[SKU],A96))</x:f>
      </x:c>
      <x:c r="F96" s="16" t="str">
        <x:f>IF(A96="","",SUMIFS(Orders[Себестоимость],Orders[Дата],"&gt;="&amp;'Настройки'!$B$4,Orders[Дата],"&lt;"&amp;('Настройки'!$B$5+1),Orders[SKU],A96))</x:f>
      </x:c>
      <x:c r="G96" s="16" t="str">
        <x:f>IF(A96="","",SUMIFS(Orders[Прибыль],Orders[Дата],"&gt;="&amp;'Настройки'!$B$4,Orders[Дата],"&lt;"&amp;('Настройки'!$B$5+1),Orders[SKU],A96))</x:f>
      </x:c>
      <x:c r="H96" s="16" t="str">
        <x:f>IF(A96="","",MAX(0,-G96))</x:f>
      </x:c>
      <x:c r="I96" s="17" t="str">
        <x:f>IF(A96="","",IF(E96=0,"",G96/E96))</x:f>
      </x:c>
      <x:c r="J96" s="17" t="str">
        <x:f>IF(A96="","",IF(F96=0,"",(E96-F96)/F96))</x:f>
      </x:c>
      <x:c r="K96" s="11" t="str">
        <x:f>IF(A96="","",SUMIFS(Orders[Количество],Orders[Дата],"&gt;="&amp;'Настройки'!$B$4,Orders[Дата],"&lt;"&amp;('Настройки'!$B$5+1),Orders[SKU],A96,Orders[Статус],"Возврат"))</x:f>
      </x:c>
      <x:c r="L96" s="11" t="str">
        <x:f>IF(A96="","",SUMIFS(Orders[Количество],Orders[Дата],"&gt;="&amp;'Настройки'!$B$4,Orders[Дата],"&lt;"&amp;('Настройки'!$B$5+1),Orders[SKU],A96,Orders[Статус],"Отменён"))</x:f>
      </x:c>
      <x:c r="M96" s="16" t="str">
        <x:f>IF(A96="","",IF(D96=0,"",E96/D96))</x:f>
      </x:c>
      <x:c r="N96" s="17" t="str">
        <x:f>IF(A96="","",IF(F96=0,"",G96/F96))</x:f>
      </x:c>
      <x:c r="O96" s="11" t="str">
        <x:f>IF(A96="","",SUMIFS(Stock[Остаток],Stock[SKU],A96))</x:f>
      </x:c>
      <x:c r="P96" s="11" t="str">
        <x:f>IF(OR(A96="",E96=""),"",COUNTIFS(Products[Выручка],"&gt;"&amp;E96)+COUNTIFS($E$5:E96,E96,$A$5:A96,"&lt;&gt;"))</x:f>
      </x:c>
      <x:c r="Q96" s="11" t="str">
        <x:f>IF(OR(A96="",G96=""),"",COUNTIFS(Products[Прибыль],"&gt;"&amp;G96)+COUNTIFS($G$5:G96,G96,$A$5:A96,"&lt;&gt;"))</x:f>
      </x:c>
      <x:c r="R96" s="11" t="str">
        <x:f>IF(OR(A96="",I96=""),"",COUNTIFS(Products[Маржа],"&gt;"&amp;I96)+COUNTIFS($I$5:I96,I96,$A$5:A96,"&lt;&gt;"))</x:f>
      </x:c>
      <x:c r="S96" s="11" t="str">
        <x:f>IF(OR(A96="",J96=""),"",COUNTIFS(Products[Наценка],"&gt;"&amp;J96)+COUNTIFS($J$5:J96,J96,$A$5:A96,"&lt;&gt;"))</x:f>
      </x:c>
      <x:c r="T96" s="11" t="str">
        <x:f>IF(OR(A96="",H96&lt;=0),"",COUNTIFS(Products[Убыток],"&gt;"&amp;H96)+COUNTIFS($H$5:H96,H96,$A$5:A96,"&lt;&gt;"))</x:f>
      </x:c>
      <x:c r="U96" s="11" t="str">
        <x:f>IF(OR(A96="",K96&lt;=0),"",COUNTIFS(Products[Возвраты шт.],"&gt;"&amp;K96)+COUNTIFS($K$5:K96,K96,$A$5:A96,"&lt;&gt;"))</x:f>
      </x:c>
      <x:c r="V96" s="11" t="str">
        <x:f>IF(OR(A96="",L96&lt;=0),"",COUNTIFS(Products[Отмены шт.],"&gt;"&amp;L96)+COUNTIFS($L$5:L96,L96,$A$5:A96,"&lt;&gt;"))</x:f>
      </x:c>
    </x:row>
    <x:row r="97" ht="23" customHeight="1">
      <x:c r="A97" s="51"/>
      <x:c r="B97" s="51"/>
      <x:c r="C97" s="51"/>
      <x:c r="D97" s="11" t="str">
        <x:f>IF(A97="","",SUMIFS(Orders[Продано шт.],Orders[Дата],"&gt;="&amp;'Настройки'!$B$4,Orders[Дата],"&lt;"&amp;('Настройки'!$B$5+1),Orders[SKU],A97))</x:f>
      </x:c>
      <x:c r="E97" s="16" t="str">
        <x:f>IF(A97="","",SUMIFS(Orders[Выручка],Orders[Дата],"&gt;="&amp;'Настройки'!$B$4,Orders[Дата],"&lt;"&amp;('Настройки'!$B$5+1),Orders[SKU],A97))</x:f>
      </x:c>
      <x:c r="F97" s="16" t="str">
        <x:f>IF(A97="","",SUMIFS(Orders[Себестоимость],Orders[Дата],"&gt;="&amp;'Настройки'!$B$4,Orders[Дата],"&lt;"&amp;('Настройки'!$B$5+1),Orders[SKU],A97))</x:f>
      </x:c>
      <x:c r="G97" s="16" t="str">
        <x:f>IF(A97="","",SUMIFS(Orders[Прибыль],Orders[Дата],"&gt;="&amp;'Настройки'!$B$4,Orders[Дата],"&lt;"&amp;('Настройки'!$B$5+1),Orders[SKU],A97))</x:f>
      </x:c>
      <x:c r="H97" s="16" t="str">
        <x:f>IF(A97="","",MAX(0,-G97))</x:f>
      </x:c>
      <x:c r="I97" s="17" t="str">
        <x:f>IF(A97="","",IF(E97=0,"",G97/E97))</x:f>
      </x:c>
      <x:c r="J97" s="17" t="str">
        <x:f>IF(A97="","",IF(F97=0,"",(E97-F97)/F97))</x:f>
      </x:c>
      <x:c r="K97" s="11" t="str">
        <x:f>IF(A97="","",SUMIFS(Orders[Количество],Orders[Дата],"&gt;="&amp;'Настройки'!$B$4,Orders[Дата],"&lt;"&amp;('Настройки'!$B$5+1),Orders[SKU],A97,Orders[Статус],"Возврат"))</x:f>
      </x:c>
      <x:c r="L97" s="11" t="str">
        <x:f>IF(A97="","",SUMIFS(Orders[Количество],Orders[Дата],"&gt;="&amp;'Настройки'!$B$4,Orders[Дата],"&lt;"&amp;('Настройки'!$B$5+1),Orders[SKU],A97,Orders[Статус],"Отменён"))</x:f>
      </x:c>
      <x:c r="M97" s="16" t="str">
        <x:f>IF(A97="","",IF(D97=0,"",E97/D97))</x:f>
      </x:c>
      <x:c r="N97" s="17" t="str">
        <x:f>IF(A97="","",IF(F97=0,"",G97/F97))</x:f>
      </x:c>
      <x:c r="O97" s="11" t="str">
        <x:f>IF(A97="","",SUMIFS(Stock[Остаток],Stock[SKU],A97))</x:f>
      </x:c>
      <x:c r="P97" s="11" t="str">
        <x:f>IF(OR(A97="",E97=""),"",COUNTIFS(Products[Выручка],"&gt;"&amp;E97)+COUNTIFS($E$5:E97,E97,$A$5:A97,"&lt;&gt;"))</x:f>
      </x:c>
      <x:c r="Q97" s="11" t="str">
        <x:f>IF(OR(A97="",G97=""),"",COUNTIFS(Products[Прибыль],"&gt;"&amp;G97)+COUNTIFS($G$5:G97,G97,$A$5:A97,"&lt;&gt;"))</x:f>
      </x:c>
      <x:c r="R97" s="11" t="str">
        <x:f>IF(OR(A97="",I97=""),"",COUNTIFS(Products[Маржа],"&gt;"&amp;I97)+COUNTIFS($I$5:I97,I97,$A$5:A97,"&lt;&gt;"))</x:f>
      </x:c>
      <x:c r="S97" s="11" t="str">
        <x:f>IF(OR(A97="",J97=""),"",COUNTIFS(Products[Наценка],"&gt;"&amp;J97)+COUNTIFS($J$5:J97,J97,$A$5:A97,"&lt;&gt;"))</x:f>
      </x:c>
      <x:c r="T97" s="11" t="str">
        <x:f>IF(OR(A97="",H97&lt;=0),"",COUNTIFS(Products[Убыток],"&gt;"&amp;H97)+COUNTIFS($H$5:H97,H97,$A$5:A97,"&lt;&gt;"))</x:f>
      </x:c>
      <x:c r="U97" s="11" t="str">
        <x:f>IF(OR(A97="",K97&lt;=0),"",COUNTIFS(Products[Возвраты шт.],"&gt;"&amp;K97)+COUNTIFS($K$5:K97,K97,$A$5:A97,"&lt;&gt;"))</x:f>
      </x:c>
      <x:c r="V97" s="11" t="str">
        <x:f>IF(OR(A97="",L97&lt;=0),"",COUNTIFS(Products[Отмены шт.],"&gt;"&amp;L97)+COUNTIFS($L$5:L97,L97,$A$5:A97,"&lt;&gt;"))</x:f>
      </x:c>
    </x:row>
    <x:row r="98" ht="23" customHeight="1">
      <x:c r="A98" s="51"/>
      <x:c r="B98" s="51"/>
      <x:c r="C98" s="51"/>
      <x:c r="D98" s="11" t="str">
        <x:f>IF(A98="","",SUMIFS(Orders[Продано шт.],Orders[Дата],"&gt;="&amp;'Настройки'!$B$4,Orders[Дата],"&lt;"&amp;('Настройки'!$B$5+1),Orders[SKU],A98))</x:f>
      </x:c>
      <x:c r="E98" s="16" t="str">
        <x:f>IF(A98="","",SUMIFS(Orders[Выручка],Orders[Дата],"&gt;="&amp;'Настройки'!$B$4,Orders[Дата],"&lt;"&amp;('Настройки'!$B$5+1),Orders[SKU],A98))</x:f>
      </x:c>
      <x:c r="F98" s="16" t="str">
        <x:f>IF(A98="","",SUMIFS(Orders[Себестоимость],Orders[Дата],"&gt;="&amp;'Настройки'!$B$4,Orders[Дата],"&lt;"&amp;('Настройки'!$B$5+1),Orders[SKU],A98))</x:f>
      </x:c>
      <x:c r="G98" s="16" t="str">
        <x:f>IF(A98="","",SUMIFS(Orders[Прибыль],Orders[Дата],"&gt;="&amp;'Настройки'!$B$4,Orders[Дата],"&lt;"&amp;('Настройки'!$B$5+1),Orders[SKU],A98))</x:f>
      </x:c>
      <x:c r="H98" s="16" t="str">
        <x:f>IF(A98="","",MAX(0,-G98))</x:f>
      </x:c>
      <x:c r="I98" s="17" t="str">
        <x:f>IF(A98="","",IF(E98=0,"",G98/E98))</x:f>
      </x:c>
      <x:c r="J98" s="17" t="str">
        <x:f>IF(A98="","",IF(F98=0,"",(E98-F98)/F98))</x:f>
      </x:c>
      <x:c r="K98" s="11" t="str">
        <x:f>IF(A98="","",SUMIFS(Orders[Количество],Orders[Дата],"&gt;="&amp;'Настройки'!$B$4,Orders[Дата],"&lt;"&amp;('Настройки'!$B$5+1),Orders[SKU],A98,Orders[Статус],"Возврат"))</x:f>
      </x:c>
      <x:c r="L98" s="11" t="str">
        <x:f>IF(A98="","",SUMIFS(Orders[Количество],Orders[Дата],"&gt;="&amp;'Настройки'!$B$4,Orders[Дата],"&lt;"&amp;('Настройки'!$B$5+1),Orders[SKU],A98,Orders[Статус],"Отменён"))</x:f>
      </x:c>
      <x:c r="M98" s="16" t="str">
        <x:f>IF(A98="","",IF(D98=0,"",E98/D98))</x:f>
      </x:c>
      <x:c r="N98" s="17" t="str">
        <x:f>IF(A98="","",IF(F98=0,"",G98/F98))</x:f>
      </x:c>
      <x:c r="O98" s="11" t="str">
        <x:f>IF(A98="","",SUMIFS(Stock[Остаток],Stock[SKU],A98))</x:f>
      </x:c>
      <x:c r="P98" s="11" t="str">
        <x:f>IF(OR(A98="",E98=""),"",COUNTIFS(Products[Выручка],"&gt;"&amp;E98)+COUNTIFS($E$5:E98,E98,$A$5:A98,"&lt;&gt;"))</x:f>
      </x:c>
      <x:c r="Q98" s="11" t="str">
        <x:f>IF(OR(A98="",G98=""),"",COUNTIFS(Products[Прибыль],"&gt;"&amp;G98)+COUNTIFS($G$5:G98,G98,$A$5:A98,"&lt;&gt;"))</x:f>
      </x:c>
      <x:c r="R98" s="11" t="str">
        <x:f>IF(OR(A98="",I98=""),"",COUNTIFS(Products[Маржа],"&gt;"&amp;I98)+COUNTIFS($I$5:I98,I98,$A$5:A98,"&lt;&gt;"))</x:f>
      </x:c>
      <x:c r="S98" s="11" t="str">
        <x:f>IF(OR(A98="",J98=""),"",COUNTIFS(Products[Наценка],"&gt;"&amp;J98)+COUNTIFS($J$5:J98,J98,$A$5:A98,"&lt;&gt;"))</x:f>
      </x:c>
      <x:c r="T98" s="11" t="str">
        <x:f>IF(OR(A98="",H98&lt;=0),"",COUNTIFS(Products[Убыток],"&gt;"&amp;H98)+COUNTIFS($H$5:H98,H98,$A$5:A98,"&lt;&gt;"))</x:f>
      </x:c>
      <x:c r="U98" s="11" t="str">
        <x:f>IF(OR(A98="",K98&lt;=0),"",COUNTIFS(Products[Возвраты шт.],"&gt;"&amp;K98)+COUNTIFS($K$5:K98,K98,$A$5:A98,"&lt;&gt;"))</x:f>
      </x:c>
      <x:c r="V98" s="11" t="str">
        <x:f>IF(OR(A98="",L98&lt;=0),"",COUNTIFS(Products[Отмены шт.],"&gt;"&amp;L98)+COUNTIFS($L$5:L98,L98,$A$5:A98,"&lt;&gt;"))</x:f>
      </x:c>
    </x:row>
    <x:row r="99" ht="23" customHeight="1">
      <x:c r="A99" s="51"/>
      <x:c r="B99" s="51"/>
      <x:c r="C99" s="51"/>
      <x:c r="D99" s="11" t="str">
        <x:f>IF(A99="","",SUMIFS(Orders[Продано шт.],Orders[Дата],"&gt;="&amp;'Настройки'!$B$4,Orders[Дата],"&lt;"&amp;('Настройки'!$B$5+1),Orders[SKU],A99))</x:f>
      </x:c>
      <x:c r="E99" s="16" t="str">
        <x:f>IF(A99="","",SUMIFS(Orders[Выручка],Orders[Дата],"&gt;="&amp;'Настройки'!$B$4,Orders[Дата],"&lt;"&amp;('Настройки'!$B$5+1),Orders[SKU],A99))</x:f>
      </x:c>
      <x:c r="F99" s="16" t="str">
        <x:f>IF(A99="","",SUMIFS(Orders[Себестоимость],Orders[Дата],"&gt;="&amp;'Настройки'!$B$4,Orders[Дата],"&lt;"&amp;('Настройки'!$B$5+1),Orders[SKU],A99))</x:f>
      </x:c>
      <x:c r="G99" s="16" t="str">
        <x:f>IF(A99="","",SUMIFS(Orders[Прибыль],Orders[Дата],"&gt;="&amp;'Настройки'!$B$4,Orders[Дата],"&lt;"&amp;('Настройки'!$B$5+1),Orders[SKU],A99))</x:f>
      </x:c>
      <x:c r="H99" s="16" t="str">
        <x:f>IF(A99="","",MAX(0,-G99))</x:f>
      </x:c>
      <x:c r="I99" s="17" t="str">
        <x:f>IF(A99="","",IF(E99=0,"",G99/E99))</x:f>
      </x:c>
      <x:c r="J99" s="17" t="str">
        <x:f>IF(A99="","",IF(F99=0,"",(E99-F99)/F99))</x:f>
      </x:c>
      <x:c r="K99" s="11" t="str">
        <x:f>IF(A99="","",SUMIFS(Orders[Количество],Orders[Дата],"&gt;="&amp;'Настройки'!$B$4,Orders[Дата],"&lt;"&amp;('Настройки'!$B$5+1),Orders[SKU],A99,Orders[Статус],"Возврат"))</x:f>
      </x:c>
      <x:c r="L99" s="11" t="str">
        <x:f>IF(A99="","",SUMIFS(Orders[Количество],Orders[Дата],"&gt;="&amp;'Настройки'!$B$4,Orders[Дата],"&lt;"&amp;('Настройки'!$B$5+1),Orders[SKU],A99,Orders[Статус],"Отменён"))</x:f>
      </x:c>
      <x:c r="M99" s="16" t="str">
        <x:f>IF(A99="","",IF(D99=0,"",E99/D99))</x:f>
      </x:c>
      <x:c r="N99" s="17" t="str">
        <x:f>IF(A99="","",IF(F99=0,"",G99/F99))</x:f>
      </x:c>
      <x:c r="O99" s="11" t="str">
        <x:f>IF(A99="","",SUMIFS(Stock[Остаток],Stock[SKU],A99))</x:f>
      </x:c>
      <x:c r="P99" s="11" t="str">
        <x:f>IF(OR(A99="",E99=""),"",COUNTIFS(Products[Выручка],"&gt;"&amp;E99)+COUNTIFS($E$5:E99,E99,$A$5:A99,"&lt;&gt;"))</x:f>
      </x:c>
      <x:c r="Q99" s="11" t="str">
        <x:f>IF(OR(A99="",G99=""),"",COUNTIFS(Products[Прибыль],"&gt;"&amp;G99)+COUNTIFS($G$5:G99,G99,$A$5:A99,"&lt;&gt;"))</x:f>
      </x:c>
      <x:c r="R99" s="11" t="str">
        <x:f>IF(OR(A99="",I99=""),"",COUNTIFS(Products[Маржа],"&gt;"&amp;I99)+COUNTIFS($I$5:I99,I99,$A$5:A99,"&lt;&gt;"))</x:f>
      </x:c>
      <x:c r="S99" s="11" t="str">
        <x:f>IF(OR(A99="",J99=""),"",COUNTIFS(Products[Наценка],"&gt;"&amp;J99)+COUNTIFS($J$5:J99,J99,$A$5:A99,"&lt;&gt;"))</x:f>
      </x:c>
      <x:c r="T99" s="11" t="str">
        <x:f>IF(OR(A99="",H99&lt;=0),"",COUNTIFS(Products[Убыток],"&gt;"&amp;H99)+COUNTIFS($H$5:H99,H99,$A$5:A99,"&lt;&gt;"))</x:f>
      </x:c>
      <x:c r="U99" s="11" t="str">
        <x:f>IF(OR(A99="",K99&lt;=0),"",COUNTIFS(Products[Возвраты шт.],"&gt;"&amp;K99)+COUNTIFS($K$5:K99,K99,$A$5:A99,"&lt;&gt;"))</x:f>
      </x:c>
      <x:c r="V99" s="11" t="str">
        <x:f>IF(OR(A99="",L99&lt;=0),"",COUNTIFS(Products[Отмены шт.],"&gt;"&amp;L99)+COUNTIFS($L$5:L99,L99,$A$5:A99,"&lt;&gt;"))</x:f>
      </x:c>
    </x:row>
    <x:row r="100" ht="23" customHeight="1">
      <x:c r="A100" s="51"/>
      <x:c r="B100" s="51"/>
      <x:c r="C100" s="51"/>
      <x:c r="D100" s="11" t="str">
        <x:f>IF(A100="","",SUMIFS(Orders[Продано шт.],Orders[Дата],"&gt;="&amp;'Настройки'!$B$4,Orders[Дата],"&lt;"&amp;('Настройки'!$B$5+1),Orders[SKU],A100))</x:f>
      </x:c>
      <x:c r="E100" s="16" t="str">
        <x:f>IF(A100="","",SUMIFS(Orders[Выручка],Orders[Дата],"&gt;="&amp;'Настройки'!$B$4,Orders[Дата],"&lt;"&amp;('Настройки'!$B$5+1),Orders[SKU],A100))</x:f>
      </x:c>
      <x:c r="F100" s="16" t="str">
        <x:f>IF(A100="","",SUMIFS(Orders[Себестоимость],Orders[Дата],"&gt;="&amp;'Настройки'!$B$4,Orders[Дата],"&lt;"&amp;('Настройки'!$B$5+1),Orders[SKU],A100))</x:f>
      </x:c>
      <x:c r="G100" s="16" t="str">
        <x:f>IF(A100="","",SUMIFS(Orders[Прибыль],Orders[Дата],"&gt;="&amp;'Настройки'!$B$4,Orders[Дата],"&lt;"&amp;('Настройки'!$B$5+1),Orders[SKU],A100))</x:f>
      </x:c>
      <x:c r="H100" s="16" t="str">
        <x:f>IF(A100="","",MAX(0,-G100))</x:f>
      </x:c>
      <x:c r="I100" s="17" t="str">
        <x:f>IF(A100="","",IF(E100=0,"",G100/E100))</x:f>
      </x:c>
      <x:c r="J100" s="17" t="str">
        <x:f>IF(A100="","",IF(F100=0,"",(E100-F100)/F100))</x:f>
      </x:c>
      <x:c r="K100" s="11" t="str">
        <x:f>IF(A100="","",SUMIFS(Orders[Количество],Orders[Дата],"&gt;="&amp;'Настройки'!$B$4,Orders[Дата],"&lt;"&amp;('Настройки'!$B$5+1),Orders[SKU],A100,Orders[Статус],"Возврат"))</x:f>
      </x:c>
      <x:c r="L100" s="11" t="str">
        <x:f>IF(A100="","",SUMIFS(Orders[Количество],Orders[Дата],"&gt;="&amp;'Настройки'!$B$4,Orders[Дата],"&lt;"&amp;('Настройки'!$B$5+1),Orders[SKU],A100,Orders[Статус],"Отменён"))</x:f>
      </x:c>
      <x:c r="M100" s="16" t="str">
        <x:f>IF(A100="","",IF(D100=0,"",E100/D100))</x:f>
      </x:c>
      <x:c r="N100" s="17" t="str">
        <x:f>IF(A100="","",IF(F100=0,"",G100/F100))</x:f>
      </x:c>
      <x:c r="O100" s="11" t="str">
        <x:f>IF(A100="","",SUMIFS(Stock[Остаток],Stock[SKU],A100))</x:f>
      </x:c>
      <x:c r="P100" s="11" t="str">
        <x:f>IF(OR(A100="",E100=""),"",COUNTIFS(Products[Выручка],"&gt;"&amp;E100)+COUNTIFS($E$5:E100,E100,$A$5:A100,"&lt;&gt;"))</x:f>
      </x:c>
      <x:c r="Q100" s="11" t="str">
        <x:f>IF(OR(A100="",G100=""),"",COUNTIFS(Products[Прибыль],"&gt;"&amp;G100)+COUNTIFS($G$5:G100,G100,$A$5:A100,"&lt;&gt;"))</x:f>
      </x:c>
      <x:c r="R100" s="11" t="str">
        <x:f>IF(OR(A100="",I100=""),"",COUNTIFS(Products[Маржа],"&gt;"&amp;I100)+COUNTIFS($I$5:I100,I100,$A$5:A100,"&lt;&gt;"))</x:f>
      </x:c>
      <x:c r="S100" s="11" t="str">
        <x:f>IF(OR(A100="",J100=""),"",COUNTIFS(Products[Наценка],"&gt;"&amp;J100)+COUNTIFS($J$5:J100,J100,$A$5:A100,"&lt;&gt;"))</x:f>
      </x:c>
      <x:c r="T100" s="11" t="str">
        <x:f>IF(OR(A100="",H100&lt;=0),"",COUNTIFS(Products[Убыток],"&gt;"&amp;H100)+COUNTIFS($H$5:H100,H100,$A$5:A100,"&lt;&gt;"))</x:f>
      </x:c>
      <x:c r="U100" s="11" t="str">
        <x:f>IF(OR(A100="",K100&lt;=0),"",COUNTIFS(Products[Возвраты шт.],"&gt;"&amp;K100)+COUNTIFS($K$5:K100,K100,$A$5:A100,"&lt;&gt;"))</x:f>
      </x:c>
      <x:c r="V100" s="11" t="str">
        <x:f>IF(OR(A100="",L100&lt;=0),"",COUNTIFS(Products[Отмены шт.],"&gt;"&amp;L100)+COUNTIFS($L$5:L100,L100,$A$5:A100,"&lt;&gt;"))</x:f>
      </x:c>
    </x:row>
    <x:row r="101" ht="23" customHeight="1">
      <x:c r="A101" s="51"/>
      <x:c r="B101" s="51"/>
      <x:c r="C101" s="51"/>
      <x:c r="D101" s="11" t="str">
        <x:f>IF(A101="","",SUMIFS(Orders[Продано шт.],Orders[Дата],"&gt;="&amp;'Настройки'!$B$4,Orders[Дата],"&lt;"&amp;('Настройки'!$B$5+1),Orders[SKU],A101))</x:f>
      </x:c>
      <x:c r="E101" s="16" t="str">
        <x:f>IF(A101="","",SUMIFS(Orders[Выручка],Orders[Дата],"&gt;="&amp;'Настройки'!$B$4,Orders[Дата],"&lt;"&amp;('Настройки'!$B$5+1),Orders[SKU],A101))</x:f>
      </x:c>
      <x:c r="F101" s="16" t="str">
        <x:f>IF(A101="","",SUMIFS(Orders[Себестоимость],Orders[Дата],"&gt;="&amp;'Настройки'!$B$4,Orders[Дата],"&lt;"&amp;('Настройки'!$B$5+1),Orders[SKU],A101))</x:f>
      </x:c>
      <x:c r="G101" s="16" t="str">
        <x:f>IF(A101="","",SUMIFS(Orders[Прибыль],Orders[Дата],"&gt;="&amp;'Настройки'!$B$4,Orders[Дата],"&lt;"&amp;('Настройки'!$B$5+1),Orders[SKU],A101))</x:f>
      </x:c>
      <x:c r="H101" s="16" t="str">
        <x:f>IF(A101="","",MAX(0,-G101))</x:f>
      </x:c>
      <x:c r="I101" s="17" t="str">
        <x:f>IF(A101="","",IF(E101=0,"",G101/E101))</x:f>
      </x:c>
      <x:c r="J101" s="17" t="str">
        <x:f>IF(A101="","",IF(F101=0,"",(E101-F101)/F101))</x:f>
      </x:c>
      <x:c r="K101" s="11" t="str">
        <x:f>IF(A101="","",SUMIFS(Orders[Количество],Orders[Дата],"&gt;="&amp;'Настройки'!$B$4,Orders[Дата],"&lt;"&amp;('Настройки'!$B$5+1),Orders[SKU],A101,Orders[Статус],"Возврат"))</x:f>
      </x:c>
      <x:c r="L101" s="11" t="str">
        <x:f>IF(A101="","",SUMIFS(Orders[Количество],Orders[Дата],"&gt;="&amp;'Настройки'!$B$4,Orders[Дата],"&lt;"&amp;('Настройки'!$B$5+1),Orders[SKU],A101,Orders[Статус],"Отменён"))</x:f>
      </x:c>
      <x:c r="M101" s="16" t="str">
        <x:f>IF(A101="","",IF(D101=0,"",E101/D101))</x:f>
      </x:c>
      <x:c r="N101" s="17" t="str">
        <x:f>IF(A101="","",IF(F101=0,"",G101/F101))</x:f>
      </x:c>
      <x:c r="O101" s="11" t="str">
        <x:f>IF(A101="","",SUMIFS(Stock[Остаток],Stock[SKU],A101))</x:f>
      </x:c>
      <x:c r="P101" s="11" t="str">
        <x:f>IF(OR(A101="",E101=""),"",COUNTIFS(Products[Выручка],"&gt;"&amp;E101)+COUNTIFS($E$5:E101,E101,$A$5:A101,"&lt;&gt;"))</x:f>
      </x:c>
      <x:c r="Q101" s="11" t="str">
        <x:f>IF(OR(A101="",G101=""),"",COUNTIFS(Products[Прибыль],"&gt;"&amp;G101)+COUNTIFS($G$5:G101,G101,$A$5:A101,"&lt;&gt;"))</x:f>
      </x:c>
      <x:c r="R101" s="11" t="str">
        <x:f>IF(OR(A101="",I101=""),"",COUNTIFS(Products[Маржа],"&gt;"&amp;I101)+COUNTIFS($I$5:I101,I101,$A$5:A101,"&lt;&gt;"))</x:f>
      </x:c>
      <x:c r="S101" s="11" t="str">
        <x:f>IF(OR(A101="",J101=""),"",COUNTIFS(Products[Наценка],"&gt;"&amp;J101)+COUNTIFS($J$5:J101,J101,$A$5:A101,"&lt;&gt;"))</x:f>
      </x:c>
      <x:c r="T101" s="11" t="str">
        <x:f>IF(OR(A101="",H101&lt;=0),"",COUNTIFS(Products[Убыток],"&gt;"&amp;H101)+COUNTIFS($H$5:H101,H101,$A$5:A101,"&lt;&gt;"))</x:f>
      </x:c>
      <x:c r="U101" s="11" t="str">
        <x:f>IF(OR(A101="",K101&lt;=0),"",COUNTIFS(Products[Возвраты шт.],"&gt;"&amp;K101)+COUNTIFS($K$5:K101,K101,$A$5:A101,"&lt;&gt;"))</x:f>
      </x:c>
      <x:c r="V101" s="11" t="str">
        <x:f>IF(OR(A101="",L101&lt;=0),"",COUNTIFS(Products[Отмены шт.],"&gt;"&amp;L101)+COUNTIFS($L$5:L101,L101,$A$5:A101,"&lt;&gt;"))</x:f>
      </x:c>
    </x:row>
    <x:row r="102" ht="23" customHeight="1">
      <x:c r="A102" s="51"/>
      <x:c r="B102" s="51"/>
      <x:c r="C102" s="51"/>
      <x:c r="D102" s="11" t="str">
        <x:f>IF(A102="","",SUMIFS(Orders[Продано шт.],Orders[Дата],"&gt;="&amp;'Настройки'!$B$4,Orders[Дата],"&lt;"&amp;('Настройки'!$B$5+1),Orders[SKU],A102))</x:f>
      </x:c>
      <x:c r="E102" s="16" t="str">
        <x:f>IF(A102="","",SUMIFS(Orders[Выручка],Orders[Дата],"&gt;="&amp;'Настройки'!$B$4,Orders[Дата],"&lt;"&amp;('Настройки'!$B$5+1),Orders[SKU],A102))</x:f>
      </x:c>
      <x:c r="F102" s="16" t="str">
        <x:f>IF(A102="","",SUMIFS(Orders[Себестоимость],Orders[Дата],"&gt;="&amp;'Настройки'!$B$4,Orders[Дата],"&lt;"&amp;('Настройки'!$B$5+1),Orders[SKU],A102))</x:f>
      </x:c>
      <x:c r="G102" s="16" t="str">
        <x:f>IF(A102="","",SUMIFS(Orders[Прибыль],Orders[Дата],"&gt;="&amp;'Настройки'!$B$4,Orders[Дата],"&lt;"&amp;('Настройки'!$B$5+1),Orders[SKU],A102))</x:f>
      </x:c>
      <x:c r="H102" s="16" t="str">
        <x:f>IF(A102="","",MAX(0,-G102))</x:f>
      </x:c>
      <x:c r="I102" s="17" t="str">
        <x:f>IF(A102="","",IF(E102=0,"",G102/E102))</x:f>
      </x:c>
      <x:c r="J102" s="17" t="str">
        <x:f>IF(A102="","",IF(F102=0,"",(E102-F102)/F102))</x:f>
      </x:c>
      <x:c r="K102" s="11" t="str">
        <x:f>IF(A102="","",SUMIFS(Orders[Количество],Orders[Дата],"&gt;="&amp;'Настройки'!$B$4,Orders[Дата],"&lt;"&amp;('Настройки'!$B$5+1),Orders[SKU],A102,Orders[Статус],"Возврат"))</x:f>
      </x:c>
      <x:c r="L102" s="11" t="str">
        <x:f>IF(A102="","",SUMIFS(Orders[Количество],Orders[Дата],"&gt;="&amp;'Настройки'!$B$4,Orders[Дата],"&lt;"&amp;('Настройки'!$B$5+1),Orders[SKU],A102,Orders[Статус],"Отменён"))</x:f>
      </x:c>
      <x:c r="M102" s="16" t="str">
        <x:f>IF(A102="","",IF(D102=0,"",E102/D102))</x:f>
      </x:c>
      <x:c r="N102" s="17" t="str">
        <x:f>IF(A102="","",IF(F102=0,"",G102/F102))</x:f>
      </x:c>
      <x:c r="O102" s="11" t="str">
        <x:f>IF(A102="","",SUMIFS(Stock[Остаток],Stock[SKU],A102))</x:f>
      </x:c>
      <x:c r="P102" s="11" t="str">
        <x:f>IF(OR(A102="",E102=""),"",COUNTIFS(Products[Выручка],"&gt;"&amp;E102)+COUNTIFS($E$5:E102,E102,$A$5:A102,"&lt;&gt;"))</x:f>
      </x:c>
      <x:c r="Q102" s="11" t="str">
        <x:f>IF(OR(A102="",G102=""),"",COUNTIFS(Products[Прибыль],"&gt;"&amp;G102)+COUNTIFS($G$5:G102,G102,$A$5:A102,"&lt;&gt;"))</x:f>
      </x:c>
      <x:c r="R102" s="11" t="str">
        <x:f>IF(OR(A102="",I102=""),"",COUNTIFS(Products[Маржа],"&gt;"&amp;I102)+COUNTIFS($I$5:I102,I102,$A$5:A102,"&lt;&gt;"))</x:f>
      </x:c>
      <x:c r="S102" s="11" t="str">
        <x:f>IF(OR(A102="",J102=""),"",COUNTIFS(Products[Наценка],"&gt;"&amp;J102)+COUNTIFS($J$5:J102,J102,$A$5:A102,"&lt;&gt;"))</x:f>
      </x:c>
      <x:c r="T102" s="11" t="str">
        <x:f>IF(OR(A102="",H102&lt;=0),"",COUNTIFS(Products[Убыток],"&gt;"&amp;H102)+COUNTIFS($H$5:H102,H102,$A$5:A102,"&lt;&gt;"))</x:f>
      </x:c>
      <x:c r="U102" s="11" t="str">
        <x:f>IF(OR(A102="",K102&lt;=0),"",COUNTIFS(Products[Возвраты шт.],"&gt;"&amp;K102)+COUNTIFS($K$5:K102,K102,$A$5:A102,"&lt;&gt;"))</x:f>
      </x:c>
      <x:c r="V102" s="11" t="str">
        <x:f>IF(OR(A102="",L102&lt;=0),"",COUNTIFS(Products[Отмены шт.],"&gt;"&amp;L102)+COUNTIFS($L$5:L102,L102,$A$5:A102,"&lt;&gt;"))</x:f>
      </x:c>
    </x:row>
    <x:row r="103" ht="23" customHeight="1">
      <x:c r="A103" s="51"/>
      <x:c r="B103" s="51"/>
      <x:c r="C103" s="51"/>
      <x:c r="D103" s="11" t="str">
        <x:f>IF(A103="","",SUMIFS(Orders[Продано шт.],Orders[Дата],"&gt;="&amp;'Настройки'!$B$4,Orders[Дата],"&lt;"&amp;('Настройки'!$B$5+1),Orders[SKU],A103))</x:f>
      </x:c>
      <x:c r="E103" s="16" t="str">
        <x:f>IF(A103="","",SUMIFS(Orders[Выручка],Orders[Дата],"&gt;="&amp;'Настройки'!$B$4,Orders[Дата],"&lt;"&amp;('Настройки'!$B$5+1),Orders[SKU],A103))</x:f>
      </x:c>
      <x:c r="F103" s="16" t="str">
        <x:f>IF(A103="","",SUMIFS(Orders[Себестоимость],Orders[Дата],"&gt;="&amp;'Настройки'!$B$4,Orders[Дата],"&lt;"&amp;('Настройки'!$B$5+1),Orders[SKU],A103))</x:f>
      </x:c>
      <x:c r="G103" s="16" t="str">
        <x:f>IF(A103="","",SUMIFS(Orders[Прибыль],Orders[Дата],"&gt;="&amp;'Настройки'!$B$4,Orders[Дата],"&lt;"&amp;('Настройки'!$B$5+1),Orders[SKU],A103))</x:f>
      </x:c>
      <x:c r="H103" s="16" t="str">
        <x:f>IF(A103="","",MAX(0,-G103))</x:f>
      </x:c>
      <x:c r="I103" s="17" t="str">
        <x:f>IF(A103="","",IF(E103=0,"",G103/E103))</x:f>
      </x:c>
      <x:c r="J103" s="17" t="str">
        <x:f>IF(A103="","",IF(F103=0,"",(E103-F103)/F103))</x:f>
      </x:c>
      <x:c r="K103" s="11" t="str">
        <x:f>IF(A103="","",SUMIFS(Orders[Количество],Orders[Дата],"&gt;="&amp;'Настройки'!$B$4,Orders[Дата],"&lt;"&amp;('Настройки'!$B$5+1),Orders[SKU],A103,Orders[Статус],"Возврат"))</x:f>
      </x:c>
      <x:c r="L103" s="11" t="str">
        <x:f>IF(A103="","",SUMIFS(Orders[Количество],Orders[Дата],"&gt;="&amp;'Настройки'!$B$4,Orders[Дата],"&lt;"&amp;('Настройки'!$B$5+1),Orders[SKU],A103,Orders[Статус],"Отменён"))</x:f>
      </x:c>
      <x:c r="M103" s="16" t="str">
        <x:f>IF(A103="","",IF(D103=0,"",E103/D103))</x:f>
      </x:c>
      <x:c r="N103" s="17" t="str">
        <x:f>IF(A103="","",IF(F103=0,"",G103/F103))</x:f>
      </x:c>
      <x:c r="O103" s="11" t="str">
        <x:f>IF(A103="","",SUMIFS(Stock[Остаток],Stock[SKU],A103))</x:f>
      </x:c>
      <x:c r="P103" s="11" t="str">
        <x:f>IF(OR(A103="",E103=""),"",COUNTIFS(Products[Выручка],"&gt;"&amp;E103)+COUNTIFS($E$5:E103,E103,$A$5:A103,"&lt;&gt;"))</x:f>
      </x:c>
      <x:c r="Q103" s="11" t="str">
        <x:f>IF(OR(A103="",G103=""),"",COUNTIFS(Products[Прибыль],"&gt;"&amp;G103)+COUNTIFS($G$5:G103,G103,$A$5:A103,"&lt;&gt;"))</x:f>
      </x:c>
      <x:c r="R103" s="11" t="str">
        <x:f>IF(OR(A103="",I103=""),"",COUNTIFS(Products[Маржа],"&gt;"&amp;I103)+COUNTIFS($I$5:I103,I103,$A$5:A103,"&lt;&gt;"))</x:f>
      </x:c>
      <x:c r="S103" s="11" t="str">
        <x:f>IF(OR(A103="",J103=""),"",COUNTIFS(Products[Наценка],"&gt;"&amp;J103)+COUNTIFS($J$5:J103,J103,$A$5:A103,"&lt;&gt;"))</x:f>
      </x:c>
      <x:c r="T103" s="11" t="str">
        <x:f>IF(OR(A103="",H103&lt;=0),"",COUNTIFS(Products[Убыток],"&gt;"&amp;H103)+COUNTIFS($H$5:H103,H103,$A$5:A103,"&lt;&gt;"))</x:f>
      </x:c>
      <x:c r="U103" s="11" t="str">
        <x:f>IF(OR(A103="",K103&lt;=0),"",COUNTIFS(Products[Возвраты шт.],"&gt;"&amp;K103)+COUNTIFS($K$5:K103,K103,$A$5:A103,"&lt;&gt;"))</x:f>
      </x:c>
      <x:c r="V103" s="11" t="str">
        <x:f>IF(OR(A103="",L103&lt;=0),"",COUNTIFS(Products[Отмены шт.],"&gt;"&amp;L103)+COUNTIFS($L$5:L103,L103,$A$5:A103,"&lt;&gt;"))</x:f>
      </x:c>
    </x:row>
    <x:row r="104" ht="23" customHeight="1">
      <x:c r="A104" s="51"/>
      <x:c r="B104" s="51"/>
      <x:c r="C104" s="51"/>
      <x:c r="D104" s="11" t="str">
        <x:f>IF(A104="","",SUMIFS(Orders[Продано шт.],Orders[Дата],"&gt;="&amp;'Настройки'!$B$4,Orders[Дата],"&lt;"&amp;('Настройки'!$B$5+1),Orders[SKU],A104))</x:f>
      </x:c>
      <x:c r="E104" s="16" t="str">
        <x:f>IF(A104="","",SUMIFS(Orders[Выручка],Orders[Дата],"&gt;="&amp;'Настройки'!$B$4,Orders[Дата],"&lt;"&amp;('Настройки'!$B$5+1),Orders[SKU],A104))</x:f>
      </x:c>
      <x:c r="F104" s="16" t="str">
        <x:f>IF(A104="","",SUMIFS(Orders[Себестоимость],Orders[Дата],"&gt;="&amp;'Настройки'!$B$4,Orders[Дата],"&lt;"&amp;('Настройки'!$B$5+1),Orders[SKU],A104))</x:f>
      </x:c>
      <x:c r="G104" s="16" t="str">
        <x:f>IF(A104="","",SUMIFS(Orders[Прибыль],Orders[Дата],"&gt;="&amp;'Настройки'!$B$4,Orders[Дата],"&lt;"&amp;('Настройки'!$B$5+1),Orders[SKU],A104))</x:f>
      </x:c>
      <x:c r="H104" s="16" t="str">
        <x:f>IF(A104="","",MAX(0,-G104))</x:f>
      </x:c>
      <x:c r="I104" s="17" t="str">
        <x:f>IF(A104="","",IF(E104=0,"",G104/E104))</x:f>
      </x:c>
      <x:c r="J104" s="17" t="str">
        <x:f>IF(A104="","",IF(F104=0,"",(E104-F104)/F104))</x:f>
      </x:c>
      <x:c r="K104" s="11" t="str">
        <x:f>IF(A104="","",SUMIFS(Orders[Количество],Orders[Дата],"&gt;="&amp;'Настройки'!$B$4,Orders[Дата],"&lt;"&amp;('Настройки'!$B$5+1),Orders[SKU],A104,Orders[Статус],"Возврат"))</x:f>
      </x:c>
      <x:c r="L104" s="11" t="str">
        <x:f>IF(A104="","",SUMIFS(Orders[Количество],Orders[Дата],"&gt;="&amp;'Настройки'!$B$4,Orders[Дата],"&lt;"&amp;('Настройки'!$B$5+1),Orders[SKU],A104,Orders[Статус],"Отменён"))</x:f>
      </x:c>
      <x:c r="M104" s="16" t="str">
        <x:f>IF(A104="","",IF(D104=0,"",E104/D104))</x:f>
      </x:c>
      <x:c r="N104" s="17" t="str">
        <x:f>IF(A104="","",IF(F104=0,"",G104/F104))</x:f>
      </x:c>
      <x:c r="O104" s="11" t="str">
        <x:f>IF(A104="","",SUMIFS(Stock[Остаток],Stock[SKU],A104))</x:f>
      </x:c>
      <x:c r="P104" s="11" t="str">
        <x:f>IF(OR(A104="",E104=""),"",COUNTIFS(Products[Выручка],"&gt;"&amp;E104)+COUNTIFS($E$5:E104,E104,$A$5:A104,"&lt;&gt;"))</x:f>
      </x:c>
      <x:c r="Q104" s="11" t="str">
        <x:f>IF(OR(A104="",G104=""),"",COUNTIFS(Products[Прибыль],"&gt;"&amp;G104)+COUNTIFS($G$5:G104,G104,$A$5:A104,"&lt;&gt;"))</x:f>
      </x:c>
      <x:c r="R104" s="11" t="str">
        <x:f>IF(OR(A104="",I104=""),"",COUNTIFS(Products[Маржа],"&gt;"&amp;I104)+COUNTIFS($I$5:I104,I104,$A$5:A104,"&lt;&gt;"))</x:f>
      </x:c>
      <x:c r="S104" s="11" t="str">
        <x:f>IF(OR(A104="",J104=""),"",COUNTIFS(Products[Наценка],"&gt;"&amp;J104)+COUNTIFS($J$5:J104,J104,$A$5:A104,"&lt;&gt;"))</x:f>
      </x:c>
      <x:c r="T104" s="11" t="str">
        <x:f>IF(OR(A104="",H104&lt;=0),"",COUNTIFS(Products[Убыток],"&gt;"&amp;H104)+COUNTIFS($H$5:H104,H104,$A$5:A104,"&lt;&gt;"))</x:f>
      </x:c>
      <x:c r="U104" s="11" t="str">
        <x:f>IF(OR(A104="",K104&lt;=0),"",COUNTIFS(Products[Возвраты шт.],"&gt;"&amp;K104)+COUNTIFS($K$5:K104,K104,$A$5:A104,"&lt;&gt;"))</x:f>
      </x:c>
      <x:c r="V104" s="11" t="str">
        <x:f>IF(OR(A104="",L104&lt;=0),"",COUNTIFS(Products[Отмены шт.],"&gt;"&amp;L104)+COUNTIFS($L$5:L104,L104,$A$5:A104,"&lt;&gt;"))</x:f>
      </x:c>
    </x:row>
  </x:sheetData>
  <x:sheetProtection sheet="1" objects="1" scenarios="1" autoFilter="0" sort="0" selectLockedCells="0" selectUnlockedCells="0"/>
  <x:mergeCells>
    <x:mergeCell ref="A1:L1"/>
    <x:mergeCell ref="A2:L2"/>
  </x:mergeCells>
  <x:conditionalFormatting sqref="G5:H104">
    <x:cfRule type="cellIs" dxfId="4" priority="1" operator="lessThan">
      <x:formula>0</x:formula>
    </x:cfRule>
    <x:cfRule type="cellIs" dxfId="5" priority="2" operator="greaterThan">
      <x:formula>0</x:formula>
    </x:cfRule>
  </x:conditionalFormatting>
  <x:dataValidations count="1">
    <x:dataValidation type="list" sqref="C5:C104">
      <x:formula1>"Активен,Пауза,Архив"</x:formula1>
    </x:dataValidation>
  </x:dataValidations>
  <x:pageMargins left="0.7" right="0.7" top="0.75" bottom="0.75" header="0.3" footer="0.3"/>
  <x:tableParts count="1">
    <x:tablePart ns1:id="R31fac3fb14ec4f93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35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34" customHeight="1">
      <x:c r="A1" s="2" t="str">
        <x:v>AutoHome  /  ТОП-20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7" t="str">
        <x:v>ТОП-20 · Выручка</x:v>
      </x:c>
      <x:c r="B4" s="7"/>
      <x:c r="C4" s="7"/>
      <x:c r="D4" s="7"/>
      <x:c r="E4" s="1"/>
      <x:c r="F4" s="1"/>
      <x:c r="G4" s="1"/>
      <x:c r="H4" s="1"/>
      <x:c r="I4" s="1"/>
      <x:c r="J4" s="1"/>
      <x:c r="K4" s="1"/>
      <x:c r="L4" s="1"/>
    </x:row>
    <x:row r="5">
      <x:c r="A5" s="1" t="n">
        <x:v>1</x:v>
      </x:c>
      <x:c r="B5" s="1" t="str">
        <x:f>_xlfn.IFNA(INDEX(Products[SKU],MATCH(A5,Products[Ранг выручки],0)),"")</x:f>
      </x:c>
      <x:c r="C5" s="1" t="str">
        <x:f>IF(B5="","",INDEX(Products[Товар],MATCH(B5,Products[SKU],0)))</x:f>
      </x:c>
      <x:c r="D5" s="19" t="str">
        <x:f>IF(B5="","",INDEX(Products[Выручка],MATCH(B5,Products[SKU],0)))</x:f>
      </x:c>
      <x:c r="E5" s="1"/>
      <x:c r="F5" s="1"/>
      <x:c r="G5" s="1"/>
      <x:c r="H5" s="1"/>
      <x:c r="I5" s="1"/>
      <x:c r="J5" s="1"/>
      <x:c r="K5" s="1"/>
      <x:c r="L5" s="1"/>
    </x:row>
    <x:row r="6">
      <x:c r="A6" s="1" t="n">
        <x:v>2</x:v>
      </x:c>
      <x:c r="B6" s="1" t="str">
        <x:f>_xlfn.IFNA(INDEX(Products[SKU],MATCH(A6,Products[Ранг выручки],0)),"")</x:f>
      </x:c>
      <x:c r="C6" s="1" t="str">
        <x:f>IF(B6="","",INDEX(Products[Товар],MATCH(B6,Products[SKU],0)))</x:f>
      </x:c>
      <x:c r="D6" s="19" t="str">
        <x:f>IF(B6="","",INDEX(Products[Выручка],MATCH(B6,Products[SKU],0)))</x:f>
      </x:c>
      <x:c r="E6" s="1"/>
      <x:c r="F6" s="1"/>
      <x:c r="G6" s="1"/>
      <x:c r="H6" s="1"/>
      <x:c r="I6" s="1"/>
      <x:c r="J6" s="1"/>
      <x:c r="K6" s="1"/>
      <x:c r="L6" s="1"/>
    </x:row>
    <x:row r="7">
      <x:c r="A7" s="1" t="n">
        <x:v>3</x:v>
      </x:c>
      <x:c r="B7" s="1" t="str">
        <x:f>_xlfn.IFNA(INDEX(Products[SKU],MATCH(A7,Products[Ранг выручки],0)),"")</x:f>
      </x:c>
      <x:c r="C7" s="1" t="str">
        <x:f>IF(B7="","",INDEX(Products[Товар],MATCH(B7,Products[SKU],0)))</x:f>
      </x:c>
      <x:c r="D7" s="19" t="str">
        <x:f>IF(B7="","",INDEX(Products[Выручка],MATCH(B7,Products[SKU],0)))</x:f>
      </x:c>
      <x:c r="E7" s="1"/>
      <x:c r="F7" s="1"/>
      <x:c r="G7" s="1"/>
      <x:c r="H7" s="1"/>
      <x:c r="I7" s="1"/>
      <x:c r="J7" s="1"/>
      <x:c r="K7" s="1"/>
      <x:c r="L7" s="1"/>
    </x:row>
    <x:row r="8">
      <x:c r="A8" s="1" t="n">
        <x:v>4</x:v>
      </x:c>
      <x:c r="B8" s="1" t="str">
        <x:f>_xlfn.IFNA(INDEX(Products[SKU],MATCH(A8,Products[Ранг выручки],0)),"")</x:f>
      </x:c>
      <x:c r="C8" s="1" t="str">
        <x:f>IF(B8="","",INDEX(Products[Товар],MATCH(B8,Products[SKU],0)))</x:f>
      </x:c>
      <x:c r="D8" s="19" t="str">
        <x:f>IF(B8="","",INDEX(Products[Выручка],MATCH(B8,Products[SKU],0)))</x:f>
      </x:c>
      <x:c r="E8" s="1"/>
      <x:c r="F8" s="1"/>
      <x:c r="G8" s="1"/>
      <x:c r="H8" s="1"/>
      <x:c r="I8" s="1"/>
      <x:c r="J8" s="1"/>
      <x:c r="K8" s="1"/>
      <x:c r="L8" s="1"/>
    </x:row>
    <x:row r="9">
      <x:c r="A9" s="1" t="n">
        <x:v>5</x:v>
      </x:c>
      <x:c r="B9" s="1" t="str">
        <x:f>_xlfn.IFNA(INDEX(Products[SKU],MATCH(A9,Products[Ранг выручки],0)),"")</x:f>
      </x:c>
      <x:c r="C9" s="1" t="str">
        <x:f>IF(B9="","",INDEX(Products[Товар],MATCH(B9,Products[SKU],0)))</x:f>
      </x:c>
      <x:c r="D9" s="19" t="str">
        <x:f>IF(B9="","",INDEX(Products[Выручка],MATCH(B9,Products[SKU],0)))</x:f>
      </x:c>
      <x:c r="E9" s="1"/>
      <x:c r="F9" s="1"/>
      <x:c r="G9" s="1"/>
      <x:c r="H9" s="1"/>
      <x:c r="I9" s="1"/>
      <x:c r="J9" s="1"/>
      <x:c r="K9" s="1"/>
      <x:c r="L9" s="1"/>
    </x:row>
    <x:row r="10">
      <x:c r="A10" s="1" t="n">
        <x:v>6</x:v>
      </x:c>
      <x:c r="B10" s="1" t="str">
        <x:f>_xlfn.IFNA(INDEX(Products[SKU],MATCH(A10,Products[Ранг выручки],0)),"")</x:f>
      </x:c>
      <x:c r="C10" s="1" t="str">
        <x:f>IF(B10="","",INDEX(Products[Товар],MATCH(B10,Products[SKU],0)))</x:f>
      </x:c>
      <x:c r="D10" s="19" t="str">
        <x:f>IF(B10="","",INDEX(Products[Выручка],MATCH(B10,Products[SKU],0)))</x:f>
      </x:c>
      <x:c r="E10" s="1"/>
      <x:c r="F10" s="1"/>
      <x:c r="G10" s="1"/>
      <x:c r="H10" s="1"/>
      <x:c r="I10" s="1"/>
      <x:c r="J10" s="1"/>
      <x:c r="K10" s="1"/>
      <x:c r="L10" s="1"/>
    </x:row>
    <x:row r="11">
      <x:c r="A11" s="1" t="n">
        <x:v>7</x:v>
      </x:c>
      <x:c r="B11" s="1" t="str">
        <x:f>_xlfn.IFNA(INDEX(Products[SKU],MATCH(A11,Products[Ранг выручки],0)),"")</x:f>
      </x:c>
      <x:c r="C11" s="1" t="str">
        <x:f>IF(B11="","",INDEX(Products[Товар],MATCH(B11,Products[SKU],0)))</x:f>
      </x:c>
      <x:c r="D11" s="19" t="str">
        <x:f>IF(B11="","",INDEX(Products[Выручка],MATCH(B11,Products[SKU],0)))</x:f>
      </x:c>
      <x:c r="E11" s="1"/>
      <x:c r="F11" s="1"/>
      <x:c r="G11" s="1"/>
      <x:c r="H11" s="1"/>
      <x:c r="I11" s="1"/>
      <x:c r="J11" s="1"/>
      <x:c r="K11" s="1"/>
      <x:c r="L11" s="1"/>
    </x:row>
    <x:row r="12">
      <x:c r="A12" s="1" t="n">
        <x:v>8</x:v>
      </x:c>
      <x:c r="B12" s="1" t="str">
        <x:f>_xlfn.IFNA(INDEX(Products[SKU],MATCH(A12,Products[Ранг выручки],0)),"")</x:f>
      </x:c>
      <x:c r="C12" s="1" t="str">
        <x:f>IF(B12="","",INDEX(Products[Товар],MATCH(B12,Products[SKU],0)))</x:f>
      </x:c>
      <x:c r="D12" s="19" t="str">
        <x:f>IF(B12="","",INDEX(Products[Выручка],MATCH(B12,Products[SKU],0)))</x:f>
      </x:c>
      <x:c r="E12" s="1"/>
      <x:c r="F12" s="1"/>
      <x:c r="G12" s="1"/>
      <x:c r="H12" s="1"/>
      <x:c r="I12" s="1"/>
      <x:c r="J12" s="1"/>
      <x:c r="K12" s="1"/>
      <x:c r="L12" s="1"/>
    </x:row>
    <x:row r="13">
      <x:c r="A13" s="1" t="n">
        <x:v>9</x:v>
      </x:c>
      <x:c r="B13" s="1" t="str">
        <x:f>_xlfn.IFNA(INDEX(Products[SKU],MATCH(A13,Products[Ранг выручки],0)),"")</x:f>
      </x:c>
      <x:c r="C13" s="1" t="str">
        <x:f>IF(B13="","",INDEX(Products[Товар],MATCH(B13,Products[SKU],0)))</x:f>
      </x:c>
      <x:c r="D13" s="19" t="str">
        <x:f>IF(B13="","",INDEX(Products[Выручка],MATCH(B13,Products[SKU],0)))</x:f>
      </x:c>
      <x:c r="E13" s="1"/>
      <x:c r="F13" s="1"/>
      <x:c r="G13" s="1"/>
      <x:c r="H13" s="1"/>
      <x:c r="I13" s="1"/>
      <x:c r="J13" s="1"/>
      <x:c r="K13" s="1"/>
      <x:c r="L13" s="1"/>
    </x:row>
    <x:row r="14">
      <x:c r="A14" s="1" t="n">
        <x:v>10</x:v>
      </x:c>
      <x:c r="B14" s="1" t="str">
        <x:f>_xlfn.IFNA(INDEX(Products[SKU],MATCH(A14,Products[Ранг выручки],0)),"")</x:f>
      </x:c>
      <x:c r="C14" s="1" t="str">
        <x:f>IF(B14="","",INDEX(Products[Товар],MATCH(B14,Products[SKU],0)))</x:f>
      </x:c>
      <x:c r="D14" s="19" t="str">
        <x:f>IF(B14="","",INDEX(Products[Выручка],MATCH(B14,Products[SKU],0)))</x:f>
      </x:c>
      <x:c r="E14" s="1"/>
      <x:c r="F14" s="1"/>
      <x:c r="G14" s="1"/>
      <x:c r="H14" s="1"/>
      <x:c r="I14" s="1"/>
      <x:c r="J14" s="1"/>
      <x:c r="K14" s="1"/>
      <x:c r="L14" s="1"/>
    </x:row>
    <x:row r="15">
      <x:c r="A15" s="1" t="n">
        <x:v>11</x:v>
      </x:c>
      <x:c r="B15" s="1" t="str">
        <x:f>_xlfn.IFNA(INDEX(Products[SKU],MATCH(A15,Products[Ранг выручки],0)),"")</x:f>
      </x:c>
      <x:c r="C15" s="1" t="str">
        <x:f>IF(B15="","",INDEX(Products[Товар],MATCH(B15,Products[SKU],0)))</x:f>
      </x:c>
      <x:c r="D15" s="19" t="str">
        <x:f>IF(B15="","",INDEX(Products[Выручка],MATCH(B15,Products[SKU],0)))</x:f>
      </x:c>
      <x:c r="E15" s="1"/>
      <x:c r="F15" s="1"/>
      <x:c r="G15" s="1"/>
      <x:c r="H15" s="1"/>
      <x:c r="I15" s="1"/>
      <x:c r="J15" s="1"/>
      <x:c r="K15" s="1"/>
      <x:c r="L15" s="1"/>
    </x:row>
    <x:row r="16">
      <x:c r="A16" s="1" t="n">
        <x:v>12</x:v>
      </x:c>
      <x:c r="B16" s="1" t="str">
        <x:f>_xlfn.IFNA(INDEX(Products[SKU],MATCH(A16,Products[Ранг выручки],0)),"")</x:f>
      </x:c>
      <x:c r="C16" s="1" t="str">
        <x:f>IF(B16="","",INDEX(Products[Товар],MATCH(B16,Products[SKU],0)))</x:f>
      </x:c>
      <x:c r="D16" s="19" t="str">
        <x:f>IF(B16="","",INDEX(Products[Выручка],MATCH(B16,Products[SKU],0)))</x:f>
      </x:c>
      <x:c r="E16" s="1"/>
      <x:c r="F16" s="1"/>
      <x:c r="G16" s="1"/>
      <x:c r="H16" s="1"/>
      <x:c r="I16" s="1"/>
      <x:c r="J16" s="1"/>
      <x:c r="K16" s="1"/>
      <x:c r="L16" s="1"/>
    </x:row>
    <x:row r="17">
      <x:c r="A17" s="1" t="n">
        <x:v>13</x:v>
      </x:c>
      <x:c r="B17" s="1" t="str">
        <x:f>_xlfn.IFNA(INDEX(Products[SKU],MATCH(A17,Products[Ранг выручки],0)),"")</x:f>
      </x:c>
      <x:c r="C17" s="1" t="str">
        <x:f>IF(B17="","",INDEX(Products[Товар],MATCH(B17,Products[SKU],0)))</x:f>
      </x:c>
      <x:c r="D17" s="19" t="str">
        <x:f>IF(B17="","",INDEX(Products[Выручка],MATCH(B17,Products[SKU],0)))</x:f>
      </x:c>
      <x:c r="E17" s="1"/>
      <x:c r="F17" s="1"/>
      <x:c r="G17" s="1"/>
      <x:c r="H17" s="1"/>
      <x:c r="I17" s="1"/>
      <x:c r="J17" s="1"/>
      <x:c r="K17" s="1"/>
      <x:c r="L17" s="1"/>
    </x:row>
    <x:row r="18">
      <x:c r="A18" s="1" t="n">
        <x:v>14</x:v>
      </x:c>
      <x:c r="B18" s="1" t="str">
        <x:f>_xlfn.IFNA(INDEX(Products[SKU],MATCH(A18,Products[Ранг выручки],0)),"")</x:f>
      </x:c>
      <x:c r="C18" s="1" t="str">
        <x:f>IF(B18="","",INDEX(Products[Товар],MATCH(B18,Products[SKU],0)))</x:f>
      </x:c>
      <x:c r="D18" s="19" t="str">
        <x:f>IF(B18="","",INDEX(Products[Выручка],MATCH(B18,Products[SKU],0)))</x:f>
      </x:c>
      <x:c r="E18" s="1"/>
      <x:c r="F18" s="1"/>
      <x:c r="G18" s="1"/>
      <x:c r="H18" s="1"/>
      <x:c r="I18" s="1"/>
      <x:c r="J18" s="1"/>
      <x:c r="K18" s="1"/>
      <x:c r="L18" s="1"/>
    </x:row>
    <x:row r="19">
      <x:c r="A19" s="1" t="n">
        <x:v>15</x:v>
      </x:c>
      <x:c r="B19" s="1" t="str">
        <x:f>_xlfn.IFNA(INDEX(Products[SKU],MATCH(A19,Products[Ранг выручки],0)),"")</x:f>
      </x:c>
      <x:c r="C19" s="1" t="str">
        <x:f>IF(B19="","",INDEX(Products[Товар],MATCH(B19,Products[SKU],0)))</x:f>
      </x:c>
      <x:c r="D19" s="19" t="str">
        <x:f>IF(B19="","",INDEX(Products[Выручка],MATCH(B19,Products[SKU],0)))</x:f>
      </x:c>
      <x:c r="E19" s="1"/>
      <x:c r="F19" s="1"/>
      <x:c r="G19" s="1"/>
      <x:c r="H19" s="1"/>
      <x:c r="I19" s="1"/>
      <x:c r="J19" s="1"/>
      <x:c r="K19" s="1"/>
      <x:c r="L19" s="1"/>
    </x:row>
    <x:row r="20">
      <x:c r="A20" s="1" t="n">
        <x:v>16</x:v>
      </x:c>
      <x:c r="B20" s="1" t="str">
        <x:f>_xlfn.IFNA(INDEX(Products[SKU],MATCH(A20,Products[Ранг выручки],0)),"")</x:f>
      </x:c>
      <x:c r="C20" s="1" t="str">
        <x:f>IF(B20="","",INDEX(Products[Товар],MATCH(B20,Products[SKU],0)))</x:f>
      </x:c>
      <x:c r="D20" s="19" t="str">
        <x:f>IF(B20="","",INDEX(Products[Выручка],MATCH(B20,Products[SKU],0)))</x:f>
      </x:c>
      <x:c r="E20" s="1"/>
      <x:c r="F20" s="1"/>
      <x:c r="G20" s="1"/>
      <x:c r="H20" s="1"/>
      <x:c r="I20" s="1"/>
      <x:c r="J20" s="1"/>
      <x:c r="K20" s="1"/>
      <x:c r="L20" s="1"/>
    </x:row>
    <x:row r="21">
      <x:c r="A21" s="1" t="n">
        <x:v>17</x:v>
      </x:c>
      <x:c r="B21" s="1" t="str">
        <x:f>_xlfn.IFNA(INDEX(Products[SKU],MATCH(A21,Products[Ранг выручки],0)),"")</x:f>
      </x:c>
      <x:c r="C21" s="1" t="str">
        <x:f>IF(B21="","",INDEX(Products[Товар],MATCH(B21,Products[SKU],0)))</x:f>
      </x:c>
      <x:c r="D21" s="19" t="str">
        <x:f>IF(B21="","",INDEX(Products[Выручка],MATCH(B21,Products[SKU],0)))</x:f>
      </x:c>
      <x:c r="E21" s="1"/>
      <x:c r="F21" s="1"/>
      <x:c r="G21" s="1"/>
      <x:c r="H21" s="1"/>
      <x:c r="I21" s="1"/>
      <x:c r="J21" s="1"/>
      <x:c r="K21" s="1"/>
      <x:c r="L21" s="1"/>
    </x:row>
    <x:row r="22">
      <x:c r="A22" s="1" t="n">
        <x:v>18</x:v>
      </x:c>
      <x:c r="B22" s="1" t="str">
        <x:f>_xlfn.IFNA(INDEX(Products[SKU],MATCH(A22,Products[Ранг выручки],0)),"")</x:f>
      </x:c>
      <x:c r="C22" s="1" t="str">
        <x:f>IF(B22="","",INDEX(Products[Товар],MATCH(B22,Products[SKU],0)))</x:f>
      </x:c>
      <x:c r="D22" s="19" t="str">
        <x:f>IF(B22="","",INDEX(Products[Выручка],MATCH(B22,Products[SKU],0)))</x:f>
      </x:c>
      <x:c r="E22" s="1"/>
      <x:c r="F22" s="1"/>
      <x:c r="G22" s="1"/>
      <x:c r="H22" s="1"/>
      <x:c r="I22" s="1"/>
      <x:c r="J22" s="1"/>
      <x:c r="K22" s="1"/>
      <x:c r="L22" s="1"/>
    </x:row>
    <x:row r="23">
      <x:c r="A23" s="1" t="n">
        <x:v>19</x:v>
      </x:c>
      <x:c r="B23" s="1" t="str">
        <x:f>_xlfn.IFNA(INDEX(Products[SKU],MATCH(A23,Products[Ранг выручки],0)),"")</x:f>
      </x:c>
      <x:c r="C23" s="1" t="str">
        <x:f>IF(B23="","",INDEX(Products[Товар],MATCH(B23,Products[SKU],0)))</x:f>
      </x:c>
      <x:c r="D23" s="19" t="str">
        <x:f>IF(B23="","",INDEX(Products[Выручка],MATCH(B23,Products[SKU],0)))</x:f>
      </x:c>
      <x:c r="E23" s="1"/>
      <x:c r="F23" s="1"/>
      <x:c r="G23" s="1"/>
      <x:c r="H23" s="1"/>
      <x:c r="I23" s="1"/>
      <x:c r="J23" s="1"/>
      <x:c r="K23" s="1"/>
      <x:c r="L23" s="1"/>
    </x:row>
    <x:row r="24">
      <x:c r="A24" s="1" t="n">
        <x:v>20</x:v>
      </x:c>
      <x:c r="B24" s="1" t="str">
        <x:f>_xlfn.IFNA(INDEX(Products[SKU],MATCH(A24,Products[Ранг выручки],0)),"")</x:f>
      </x:c>
      <x:c r="C24" s="1" t="str">
        <x:f>IF(B24="","",INDEX(Products[Товар],MATCH(B24,Products[SKU],0)))</x:f>
      </x:c>
      <x:c r="D24" s="19" t="str">
        <x:f>IF(B24="","",INDEX(Products[Выручка],MATCH(B24,Products[SKU],0)))</x:f>
      </x:c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7" t="str">
        <x:v>ТОП-20 · Прибыль</x:v>
      </x:c>
      <x:c r="B28" s="7"/>
      <x:c r="C28" s="7"/>
      <x:c r="D28" s="7"/>
      <x:c r="E28" s="1"/>
      <x:c r="F28" s="1"/>
      <x:c r="G28" s="1"/>
      <x:c r="H28" s="1"/>
      <x:c r="I28" s="1"/>
      <x:c r="J28" s="1"/>
      <x:c r="K28" s="1"/>
      <x:c r="L28" s="1"/>
    </x:row>
    <x:row r="29">
      <x:c r="A29" s="1" t="n">
        <x:v>1</x:v>
      </x:c>
      <x:c r="B29" s="1" t="str">
        <x:f>_xlfn.IFNA(INDEX(Products[SKU],MATCH(A29,Products[Ранг прибыли],0)),"")</x:f>
      </x:c>
      <x:c r="C29" s="1" t="str">
        <x:f>IF(B29="","",INDEX(Products[Товар],MATCH(B29,Products[SKU],0)))</x:f>
      </x:c>
      <x:c r="D29" s="19" t="str">
        <x:f>IF(B29="","",INDEX(Products[Прибыль],MATCH(B29,Products[SKU],0)))</x:f>
      </x:c>
      <x:c r="E29" s="1"/>
      <x:c r="F29" s="1"/>
      <x:c r="G29" s="1"/>
      <x:c r="H29" s="1"/>
      <x:c r="I29" s="1"/>
      <x:c r="J29" s="1"/>
      <x:c r="K29" s="1"/>
      <x:c r="L29" s="1"/>
    </x:row>
    <x:row r="30">
      <x:c r="A30" s="1" t="n">
        <x:v>2</x:v>
      </x:c>
      <x:c r="B30" s="1" t="str">
        <x:f>_xlfn.IFNA(INDEX(Products[SKU],MATCH(A30,Products[Ранг прибыли],0)),"")</x:f>
      </x:c>
      <x:c r="C30" s="1" t="str">
        <x:f>IF(B30="","",INDEX(Products[Товар],MATCH(B30,Products[SKU],0)))</x:f>
      </x:c>
      <x:c r="D30" s="19" t="str">
        <x:f>IF(B30="","",INDEX(Products[Прибыль],MATCH(B30,Products[SKU],0)))</x:f>
      </x:c>
      <x:c r="E30" s="1"/>
      <x:c r="F30" s="1"/>
      <x:c r="G30" s="1"/>
      <x:c r="H30" s="1"/>
      <x:c r="I30" s="1"/>
      <x:c r="J30" s="1"/>
      <x:c r="K30" s="1"/>
      <x:c r="L30" s="1"/>
    </x:row>
    <x:row r="31">
      <x:c r="A31" t="n">
        <x:v>3</x:v>
      </x:c>
      <x:c r="B31" t="str">
        <x:f>_xlfn.IFNA(INDEX(Products[SKU],MATCH(A31,Products[Ранг прибыли],0)),"")</x:f>
      </x:c>
      <x:c r="C31" t="str">
        <x:f>IF(B31="","",INDEX(Products[Товар],MATCH(B31,Products[SKU],0)))</x:f>
      </x:c>
      <x:c r="D31" s="20" t="str">
        <x:f>IF(B31="","",INDEX(Products[Прибыль],MATCH(B31,Products[SKU],0)))</x:f>
      </x:c>
    </x:row>
    <x:row r="32">
      <x:c r="A32" t="n">
        <x:v>4</x:v>
      </x:c>
      <x:c r="B32" t="str">
        <x:f>_xlfn.IFNA(INDEX(Products[SKU],MATCH(A32,Products[Ранг прибыли],0)),"")</x:f>
      </x:c>
      <x:c r="C32" t="str">
        <x:f>IF(B32="","",INDEX(Products[Товар],MATCH(B32,Products[SKU],0)))</x:f>
      </x:c>
      <x:c r="D32" s="20" t="str">
        <x:f>IF(B32="","",INDEX(Products[Прибыль],MATCH(B32,Products[SKU],0)))</x:f>
      </x:c>
    </x:row>
    <x:row r="33">
      <x:c r="A33" t="n">
        <x:v>5</x:v>
      </x:c>
      <x:c r="B33" t="str">
        <x:f>_xlfn.IFNA(INDEX(Products[SKU],MATCH(A33,Products[Ранг прибыли],0)),"")</x:f>
      </x:c>
      <x:c r="C33" t="str">
        <x:f>IF(B33="","",INDEX(Products[Товар],MATCH(B33,Products[SKU],0)))</x:f>
      </x:c>
      <x:c r="D33" s="20" t="str">
        <x:f>IF(B33="","",INDEX(Products[Прибыль],MATCH(B33,Products[SKU],0)))</x:f>
      </x:c>
    </x:row>
    <x:row r="34">
      <x:c r="A34" t="n">
        <x:v>6</x:v>
      </x:c>
      <x:c r="B34" t="str">
        <x:f>_xlfn.IFNA(INDEX(Products[SKU],MATCH(A34,Products[Ранг прибыли],0)),"")</x:f>
      </x:c>
      <x:c r="C34" t="str">
        <x:f>IF(B34="","",INDEX(Products[Товар],MATCH(B34,Products[SKU],0)))</x:f>
      </x:c>
      <x:c r="D34" s="20" t="str">
        <x:f>IF(B34="","",INDEX(Products[Прибыль],MATCH(B34,Products[SKU],0)))</x:f>
      </x:c>
    </x:row>
    <x:row r="35">
      <x:c r="A35" t="n">
        <x:v>7</x:v>
      </x:c>
      <x:c r="B35" t="str">
        <x:f>_xlfn.IFNA(INDEX(Products[SKU],MATCH(A35,Products[Ранг прибыли],0)),"")</x:f>
      </x:c>
      <x:c r="C35" t="str">
        <x:f>IF(B35="","",INDEX(Products[Товар],MATCH(B35,Products[SKU],0)))</x:f>
      </x:c>
      <x:c r="D35" s="20" t="str">
        <x:f>IF(B35="","",INDEX(Products[Прибыль],MATCH(B35,Products[SKU],0)))</x:f>
      </x:c>
    </x:row>
    <x:row r="36">
      <x:c r="A36" t="n">
        <x:v>8</x:v>
      </x:c>
      <x:c r="B36" t="str">
        <x:f>_xlfn.IFNA(INDEX(Products[SKU],MATCH(A36,Products[Ранг прибыли],0)),"")</x:f>
      </x:c>
      <x:c r="C36" t="str">
        <x:f>IF(B36="","",INDEX(Products[Товар],MATCH(B36,Products[SKU],0)))</x:f>
      </x:c>
      <x:c r="D36" s="20" t="str">
        <x:f>IF(B36="","",INDEX(Products[Прибыль],MATCH(B36,Products[SKU],0)))</x:f>
      </x:c>
    </x:row>
    <x:row r="37">
      <x:c r="A37" t="n">
        <x:v>9</x:v>
      </x:c>
      <x:c r="B37" t="str">
        <x:f>_xlfn.IFNA(INDEX(Products[SKU],MATCH(A37,Products[Ранг прибыли],0)),"")</x:f>
      </x:c>
      <x:c r="C37" t="str">
        <x:f>IF(B37="","",INDEX(Products[Товар],MATCH(B37,Products[SKU],0)))</x:f>
      </x:c>
      <x:c r="D37" s="20" t="str">
        <x:f>IF(B37="","",INDEX(Products[Прибыль],MATCH(B37,Products[SKU],0)))</x:f>
      </x:c>
    </x:row>
    <x:row r="38">
      <x:c r="A38" t="n">
        <x:v>10</x:v>
      </x:c>
      <x:c r="B38" t="str">
        <x:f>_xlfn.IFNA(INDEX(Products[SKU],MATCH(A38,Products[Ранг прибыли],0)),"")</x:f>
      </x:c>
      <x:c r="C38" t="str">
        <x:f>IF(B38="","",INDEX(Products[Товар],MATCH(B38,Products[SKU],0)))</x:f>
      </x:c>
      <x:c r="D38" s="20" t="str">
        <x:f>IF(B38="","",INDEX(Products[Прибыль],MATCH(B38,Products[SKU],0)))</x:f>
      </x:c>
    </x:row>
    <x:row r="39">
      <x:c r="A39" t="n">
        <x:v>11</x:v>
      </x:c>
      <x:c r="B39" t="str">
        <x:f>_xlfn.IFNA(INDEX(Products[SKU],MATCH(A39,Products[Ранг прибыли],0)),"")</x:f>
      </x:c>
      <x:c r="C39" t="str">
        <x:f>IF(B39="","",INDEX(Products[Товар],MATCH(B39,Products[SKU],0)))</x:f>
      </x:c>
      <x:c r="D39" s="20" t="str">
        <x:f>IF(B39="","",INDEX(Products[Прибыль],MATCH(B39,Products[SKU],0)))</x:f>
      </x:c>
    </x:row>
    <x:row r="40">
      <x:c r="A40" t="n">
        <x:v>12</x:v>
      </x:c>
      <x:c r="B40" t="str">
        <x:f>_xlfn.IFNA(INDEX(Products[SKU],MATCH(A40,Products[Ранг прибыли],0)),"")</x:f>
      </x:c>
      <x:c r="C40" t="str">
        <x:f>IF(B40="","",INDEX(Products[Товар],MATCH(B40,Products[SKU],0)))</x:f>
      </x:c>
      <x:c r="D40" s="20" t="str">
        <x:f>IF(B40="","",INDEX(Products[Прибыль],MATCH(B40,Products[SKU],0)))</x:f>
      </x:c>
    </x:row>
    <x:row r="41">
      <x:c r="A41" t="n">
        <x:v>13</x:v>
      </x:c>
      <x:c r="B41" t="str">
        <x:f>_xlfn.IFNA(INDEX(Products[SKU],MATCH(A41,Products[Ранг прибыли],0)),"")</x:f>
      </x:c>
      <x:c r="C41" t="str">
        <x:f>IF(B41="","",INDEX(Products[Товар],MATCH(B41,Products[SKU],0)))</x:f>
      </x:c>
      <x:c r="D41" s="20" t="str">
        <x:f>IF(B41="","",INDEX(Products[Прибыль],MATCH(B41,Products[SKU],0)))</x:f>
      </x:c>
    </x:row>
    <x:row r="42">
      <x:c r="A42" t="n">
        <x:v>14</x:v>
      </x:c>
      <x:c r="B42" t="str">
        <x:f>_xlfn.IFNA(INDEX(Products[SKU],MATCH(A42,Products[Ранг прибыли],0)),"")</x:f>
      </x:c>
      <x:c r="C42" t="str">
        <x:f>IF(B42="","",INDEX(Products[Товар],MATCH(B42,Products[SKU],0)))</x:f>
      </x:c>
      <x:c r="D42" s="20" t="str">
        <x:f>IF(B42="","",INDEX(Products[Прибыль],MATCH(B42,Products[SKU],0)))</x:f>
      </x:c>
    </x:row>
    <x:row r="43">
      <x:c r="A43" t="n">
        <x:v>15</x:v>
      </x:c>
      <x:c r="B43" t="str">
        <x:f>_xlfn.IFNA(INDEX(Products[SKU],MATCH(A43,Products[Ранг прибыли],0)),"")</x:f>
      </x:c>
      <x:c r="C43" t="str">
        <x:f>IF(B43="","",INDEX(Products[Товар],MATCH(B43,Products[SKU],0)))</x:f>
      </x:c>
      <x:c r="D43" s="20" t="str">
        <x:f>IF(B43="","",INDEX(Products[Прибыль],MATCH(B43,Products[SKU],0)))</x:f>
      </x:c>
    </x:row>
    <x:row r="44">
      <x:c r="A44" t="n">
        <x:v>16</x:v>
      </x:c>
      <x:c r="B44" t="str">
        <x:f>_xlfn.IFNA(INDEX(Products[SKU],MATCH(A44,Products[Ранг прибыли],0)),"")</x:f>
      </x:c>
      <x:c r="C44" t="str">
        <x:f>IF(B44="","",INDEX(Products[Товар],MATCH(B44,Products[SKU],0)))</x:f>
      </x:c>
      <x:c r="D44" s="20" t="str">
        <x:f>IF(B44="","",INDEX(Products[Прибыль],MATCH(B44,Products[SKU],0)))</x:f>
      </x:c>
    </x:row>
    <x:row r="45">
      <x:c r="A45" t="n">
        <x:v>17</x:v>
      </x:c>
      <x:c r="B45" t="str">
        <x:f>_xlfn.IFNA(INDEX(Products[SKU],MATCH(A45,Products[Ранг прибыли],0)),"")</x:f>
      </x:c>
      <x:c r="C45" t="str">
        <x:f>IF(B45="","",INDEX(Products[Товар],MATCH(B45,Products[SKU],0)))</x:f>
      </x:c>
      <x:c r="D45" s="20" t="str">
        <x:f>IF(B45="","",INDEX(Products[Прибыль],MATCH(B45,Products[SKU],0)))</x:f>
      </x:c>
    </x:row>
    <x:row r="46">
      <x:c r="A46" t="n">
        <x:v>18</x:v>
      </x:c>
      <x:c r="B46" t="str">
        <x:f>_xlfn.IFNA(INDEX(Products[SKU],MATCH(A46,Products[Ранг прибыли],0)),"")</x:f>
      </x:c>
      <x:c r="C46" t="str">
        <x:f>IF(B46="","",INDEX(Products[Товар],MATCH(B46,Products[SKU],0)))</x:f>
      </x:c>
      <x:c r="D46" s="20" t="str">
        <x:f>IF(B46="","",INDEX(Products[Прибыль],MATCH(B46,Products[SKU],0)))</x:f>
      </x:c>
    </x:row>
    <x:row r="47">
      <x:c r="A47" t="n">
        <x:v>19</x:v>
      </x:c>
      <x:c r="B47" t="str">
        <x:f>_xlfn.IFNA(INDEX(Products[SKU],MATCH(A47,Products[Ранг прибыли],0)),"")</x:f>
      </x:c>
      <x:c r="C47" t="str">
        <x:f>IF(B47="","",INDEX(Products[Товар],MATCH(B47,Products[SKU],0)))</x:f>
      </x:c>
      <x:c r="D47" s="20" t="str">
        <x:f>IF(B47="","",INDEX(Products[Прибыль],MATCH(B47,Products[SKU],0)))</x:f>
      </x:c>
    </x:row>
    <x:row r="48">
      <x:c r="A48" t="n">
        <x:v>20</x:v>
      </x:c>
      <x:c r="B48" t="str">
        <x:f>_xlfn.IFNA(INDEX(Products[SKU],MATCH(A48,Products[Ранг прибыли],0)),"")</x:f>
      </x:c>
      <x:c r="C48" t="str">
        <x:f>IF(B48="","",INDEX(Products[Товар],MATCH(B48,Products[SKU],0)))</x:f>
      </x:c>
      <x:c r="D48" s="20" t="str">
        <x:f>IF(B48="","",INDEX(Products[Прибыль],MATCH(B48,Products[SKU],0)))</x:f>
      </x:c>
    </x:row>
    <x:row r="52">
      <x:c r="A52" s="8" t="str">
        <x:v>ТОП-20 · Маржа</x:v>
      </x:c>
      <x:c r="B52" s="8"/>
      <x:c r="C52" s="8"/>
      <x:c r="D52" s="8"/>
    </x:row>
    <x:row r="53">
      <x:c r="A53" t="n">
        <x:v>1</x:v>
      </x:c>
      <x:c r="B53" t="str">
        <x:f>_xlfn.IFNA(INDEX(Products[SKU],MATCH(A53,Products[Ранг маржи],0)),"")</x:f>
      </x:c>
      <x:c r="C53" t="str">
        <x:f>IF(B53="","",INDEX(Products[Товар],MATCH(B53,Products[SKU],0)))</x:f>
      </x:c>
      <x:c r="D53" s="21" t="str">
        <x:f>IF(B53="","",INDEX(Products[Маржа],MATCH(B53,Products[SKU],0)))</x:f>
      </x:c>
    </x:row>
    <x:row r="54">
      <x:c r="A54" t="n">
        <x:v>2</x:v>
      </x:c>
      <x:c r="B54" t="str">
        <x:f>_xlfn.IFNA(INDEX(Products[SKU],MATCH(A54,Products[Ранг маржи],0)),"")</x:f>
      </x:c>
      <x:c r="C54" t="str">
        <x:f>IF(B54="","",INDEX(Products[Товар],MATCH(B54,Products[SKU],0)))</x:f>
      </x:c>
      <x:c r="D54" s="21" t="str">
        <x:f>IF(B54="","",INDEX(Products[Маржа],MATCH(B54,Products[SKU],0)))</x:f>
      </x:c>
    </x:row>
    <x:row r="55">
      <x:c r="A55" t="n">
        <x:v>3</x:v>
      </x:c>
      <x:c r="B55" t="str">
        <x:f>_xlfn.IFNA(INDEX(Products[SKU],MATCH(A55,Products[Ранг маржи],0)),"")</x:f>
      </x:c>
      <x:c r="C55" t="str">
        <x:f>IF(B55="","",INDEX(Products[Товар],MATCH(B55,Products[SKU],0)))</x:f>
      </x:c>
      <x:c r="D55" s="21" t="str">
        <x:f>IF(B55="","",INDEX(Products[Маржа],MATCH(B55,Products[SKU],0)))</x:f>
      </x:c>
    </x:row>
    <x:row r="56">
      <x:c r="A56" t="n">
        <x:v>4</x:v>
      </x:c>
      <x:c r="B56" t="str">
        <x:f>_xlfn.IFNA(INDEX(Products[SKU],MATCH(A56,Products[Ранг маржи],0)),"")</x:f>
      </x:c>
      <x:c r="C56" t="str">
        <x:f>IF(B56="","",INDEX(Products[Товар],MATCH(B56,Products[SKU],0)))</x:f>
      </x:c>
      <x:c r="D56" s="21" t="str">
        <x:f>IF(B56="","",INDEX(Products[Маржа],MATCH(B56,Products[SKU],0)))</x:f>
      </x:c>
    </x:row>
    <x:row r="57">
      <x:c r="A57" t="n">
        <x:v>5</x:v>
      </x:c>
      <x:c r="B57" t="str">
        <x:f>_xlfn.IFNA(INDEX(Products[SKU],MATCH(A57,Products[Ранг маржи],0)),"")</x:f>
      </x:c>
      <x:c r="C57" t="str">
        <x:f>IF(B57="","",INDEX(Products[Товар],MATCH(B57,Products[SKU],0)))</x:f>
      </x:c>
      <x:c r="D57" s="21" t="str">
        <x:f>IF(B57="","",INDEX(Products[Маржа],MATCH(B57,Products[SKU],0)))</x:f>
      </x:c>
    </x:row>
    <x:row r="58">
      <x:c r="A58" t="n">
        <x:v>6</x:v>
      </x:c>
      <x:c r="B58" t="str">
        <x:f>_xlfn.IFNA(INDEX(Products[SKU],MATCH(A58,Products[Ранг маржи],0)),"")</x:f>
      </x:c>
      <x:c r="C58" t="str">
        <x:f>IF(B58="","",INDEX(Products[Товар],MATCH(B58,Products[SKU],0)))</x:f>
      </x:c>
      <x:c r="D58" s="21" t="str">
        <x:f>IF(B58="","",INDEX(Products[Маржа],MATCH(B58,Products[SKU],0)))</x:f>
      </x:c>
    </x:row>
    <x:row r="59">
      <x:c r="A59" t="n">
        <x:v>7</x:v>
      </x:c>
      <x:c r="B59" t="str">
        <x:f>_xlfn.IFNA(INDEX(Products[SKU],MATCH(A59,Products[Ранг маржи],0)),"")</x:f>
      </x:c>
      <x:c r="C59" t="str">
        <x:f>IF(B59="","",INDEX(Products[Товар],MATCH(B59,Products[SKU],0)))</x:f>
      </x:c>
      <x:c r="D59" s="21" t="str">
        <x:f>IF(B59="","",INDEX(Products[Маржа],MATCH(B59,Products[SKU],0)))</x:f>
      </x:c>
    </x:row>
    <x:row r="60">
      <x:c r="A60" t="n">
        <x:v>8</x:v>
      </x:c>
      <x:c r="B60" t="str">
        <x:f>_xlfn.IFNA(INDEX(Products[SKU],MATCH(A60,Products[Ранг маржи],0)),"")</x:f>
      </x:c>
      <x:c r="C60" t="str">
        <x:f>IF(B60="","",INDEX(Products[Товар],MATCH(B60,Products[SKU],0)))</x:f>
      </x:c>
      <x:c r="D60" s="21" t="str">
        <x:f>IF(B60="","",INDEX(Products[Маржа],MATCH(B60,Products[SKU],0)))</x:f>
      </x:c>
    </x:row>
    <x:row r="61">
      <x:c r="A61" t="n">
        <x:v>9</x:v>
      </x:c>
      <x:c r="B61" t="str">
        <x:f>_xlfn.IFNA(INDEX(Products[SKU],MATCH(A61,Products[Ранг маржи],0)),"")</x:f>
      </x:c>
      <x:c r="C61" t="str">
        <x:f>IF(B61="","",INDEX(Products[Товар],MATCH(B61,Products[SKU],0)))</x:f>
      </x:c>
      <x:c r="D61" s="21" t="str">
        <x:f>IF(B61="","",INDEX(Products[Маржа],MATCH(B61,Products[SKU],0)))</x:f>
      </x:c>
    </x:row>
    <x:row r="62">
      <x:c r="A62" t="n">
        <x:v>10</x:v>
      </x:c>
      <x:c r="B62" t="str">
        <x:f>_xlfn.IFNA(INDEX(Products[SKU],MATCH(A62,Products[Ранг маржи],0)),"")</x:f>
      </x:c>
      <x:c r="C62" t="str">
        <x:f>IF(B62="","",INDEX(Products[Товар],MATCH(B62,Products[SKU],0)))</x:f>
      </x:c>
      <x:c r="D62" s="21" t="str">
        <x:f>IF(B62="","",INDEX(Products[Маржа],MATCH(B62,Products[SKU],0)))</x:f>
      </x:c>
    </x:row>
    <x:row r="63">
      <x:c r="A63" t="n">
        <x:v>11</x:v>
      </x:c>
      <x:c r="B63" t="str">
        <x:f>_xlfn.IFNA(INDEX(Products[SKU],MATCH(A63,Products[Ранг маржи],0)),"")</x:f>
      </x:c>
      <x:c r="C63" t="str">
        <x:f>IF(B63="","",INDEX(Products[Товар],MATCH(B63,Products[SKU],0)))</x:f>
      </x:c>
      <x:c r="D63" s="21" t="str">
        <x:f>IF(B63="","",INDEX(Products[Маржа],MATCH(B63,Products[SKU],0)))</x:f>
      </x:c>
    </x:row>
    <x:row r="64">
      <x:c r="A64" t="n">
        <x:v>12</x:v>
      </x:c>
      <x:c r="B64" t="str">
        <x:f>_xlfn.IFNA(INDEX(Products[SKU],MATCH(A64,Products[Ранг маржи],0)),"")</x:f>
      </x:c>
      <x:c r="C64" t="str">
        <x:f>IF(B64="","",INDEX(Products[Товар],MATCH(B64,Products[SKU],0)))</x:f>
      </x:c>
      <x:c r="D64" s="21" t="str">
        <x:f>IF(B64="","",INDEX(Products[Маржа],MATCH(B64,Products[SKU],0)))</x:f>
      </x:c>
    </x:row>
    <x:row r="65">
      <x:c r="A65" t="n">
        <x:v>13</x:v>
      </x:c>
      <x:c r="B65" t="str">
        <x:f>_xlfn.IFNA(INDEX(Products[SKU],MATCH(A65,Products[Ранг маржи],0)),"")</x:f>
      </x:c>
      <x:c r="C65" t="str">
        <x:f>IF(B65="","",INDEX(Products[Товар],MATCH(B65,Products[SKU],0)))</x:f>
      </x:c>
      <x:c r="D65" s="21" t="str">
        <x:f>IF(B65="","",INDEX(Products[Маржа],MATCH(B65,Products[SKU],0)))</x:f>
      </x:c>
    </x:row>
    <x:row r="66">
      <x:c r="A66" t="n">
        <x:v>14</x:v>
      </x:c>
      <x:c r="B66" t="str">
        <x:f>_xlfn.IFNA(INDEX(Products[SKU],MATCH(A66,Products[Ранг маржи],0)),"")</x:f>
      </x:c>
      <x:c r="C66" t="str">
        <x:f>IF(B66="","",INDEX(Products[Товар],MATCH(B66,Products[SKU],0)))</x:f>
      </x:c>
      <x:c r="D66" s="21" t="str">
        <x:f>IF(B66="","",INDEX(Products[Маржа],MATCH(B66,Products[SKU],0)))</x:f>
      </x:c>
    </x:row>
    <x:row r="67">
      <x:c r="A67" t="n">
        <x:v>15</x:v>
      </x:c>
      <x:c r="B67" t="str">
        <x:f>_xlfn.IFNA(INDEX(Products[SKU],MATCH(A67,Products[Ранг маржи],0)),"")</x:f>
      </x:c>
      <x:c r="C67" t="str">
        <x:f>IF(B67="","",INDEX(Products[Товар],MATCH(B67,Products[SKU],0)))</x:f>
      </x:c>
      <x:c r="D67" s="21" t="str">
        <x:f>IF(B67="","",INDEX(Products[Маржа],MATCH(B67,Products[SKU],0)))</x:f>
      </x:c>
    </x:row>
    <x:row r="68">
      <x:c r="A68" t="n">
        <x:v>16</x:v>
      </x:c>
      <x:c r="B68" t="str">
        <x:f>_xlfn.IFNA(INDEX(Products[SKU],MATCH(A68,Products[Ранг маржи],0)),"")</x:f>
      </x:c>
      <x:c r="C68" t="str">
        <x:f>IF(B68="","",INDEX(Products[Товар],MATCH(B68,Products[SKU],0)))</x:f>
      </x:c>
      <x:c r="D68" s="21" t="str">
        <x:f>IF(B68="","",INDEX(Products[Маржа],MATCH(B68,Products[SKU],0)))</x:f>
      </x:c>
    </x:row>
    <x:row r="69">
      <x:c r="A69" t="n">
        <x:v>17</x:v>
      </x:c>
      <x:c r="B69" t="str">
        <x:f>_xlfn.IFNA(INDEX(Products[SKU],MATCH(A69,Products[Ранг маржи],0)),"")</x:f>
      </x:c>
      <x:c r="C69" t="str">
        <x:f>IF(B69="","",INDEX(Products[Товар],MATCH(B69,Products[SKU],0)))</x:f>
      </x:c>
      <x:c r="D69" s="21" t="str">
        <x:f>IF(B69="","",INDEX(Products[Маржа],MATCH(B69,Products[SKU],0)))</x:f>
      </x:c>
    </x:row>
    <x:row r="70">
      <x:c r="A70" t="n">
        <x:v>18</x:v>
      </x:c>
      <x:c r="B70" t="str">
        <x:f>_xlfn.IFNA(INDEX(Products[SKU],MATCH(A70,Products[Ранг маржи],0)),"")</x:f>
      </x:c>
      <x:c r="C70" t="str">
        <x:f>IF(B70="","",INDEX(Products[Товар],MATCH(B70,Products[SKU],0)))</x:f>
      </x:c>
      <x:c r="D70" s="21" t="str">
        <x:f>IF(B70="","",INDEX(Products[Маржа],MATCH(B70,Products[SKU],0)))</x:f>
      </x:c>
    </x:row>
    <x:row r="71">
      <x:c r="A71" t="n">
        <x:v>19</x:v>
      </x:c>
      <x:c r="B71" t="str">
        <x:f>_xlfn.IFNA(INDEX(Products[SKU],MATCH(A71,Products[Ранг маржи],0)),"")</x:f>
      </x:c>
      <x:c r="C71" t="str">
        <x:f>IF(B71="","",INDEX(Products[Товар],MATCH(B71,Products[SKU],0)))</x:f>
      </x:c>
      <x:c r="D71" s="21" t="str">
        <x:f>IF(B71="","",INDEX(Products[Маржа],MATCH(B71,Products[SKU],0)))</x:f>
      </x:c>
    </x:row>
    <x:row r="72">
      <x:c r="A72" t="n">
        <x:v>20</x:v>
      </x:c>
      <x:c r="B72" t="str">
        <x:f>_xlfn.IFNA(INDEX(Products[SKU],MATCH(A72,Products[Ранг маржи],0)),"")</x:f>
      </x:c>
      <x:c r="C72" t="str">
        <x:f>IF(B72="","",INDEX(Products[Товар],MATCH(B72,Products[SKU],0)))</x:f>
      </x:c>
      <x:c r="D72" s="21" t="str">
        <x:f>IF(B72="","",INDEX(Products[Маржа],MATCH(B72,Products[SKU],0)))</x:f>
      </x:c>
    </x:row>
    <x:row r="76">
      <x:c r="A76" s="8" t="str">
        <x:v>ТОП-20 · Наценка</x:v>
      </x:c>
      <x:c r="B76" s="8"/>
      <x:c r="C76" s="8"/>
      <x:c r="D76" s="8"/>
    </x:row>
    <x:row r="77">
      <x:c r="A77" t="n">
        <x:v>1</x:v>
      </x:c>
      <x:c r="B77" t="str">
        <x:f>_xlfn.IFNA(INDEX(Products[SKU],MATCH(A77,Products[Ранг наценки],0)),"")</x:f>
      </x:c>
      <x:c r="C77" t="str">
        <x:f>IF(B77="","",INDEX(Products[Товар],MATCH(B77,Products[SKU],0)))</x:f>
      </x:c>
      <x:c r="D77" s="21" t="str">
        <x:f>IF(B77="","",INDEX(Products[Наценка],MATCH(B77,Products[SKU],0)))</x:f>
      </x:c>
    </x:row>
    <x:row r="78">
      <x:c r="A78" t="n">
        <x:v>2</x:v>
      </x:c>
      <x:c r="B78" t="str">
        <x:f>_xlfn.IFNA(INDEX(Products[SKU],MATCH(A78,Products[Ранг наценки],0)),"")</x:f>
      </x:c>
      <x:c r="C78" t="str">
        <x:f>IF(B78="","",INDEX(Products[Товар],MATCH(B78,Products[SKU],0)))</x:f>
      </x:c>
      <x:c r="D78" s="21" t="str">
        <x:f>IF(B78="","",INDEX(Products[Наценка],MATCH(B78,Products[SKU],0)))</x:f>
      </x:c>
    </x:row>
    <x:row r="79">
      <x:c r="A79" t="n">
        <x:v>3</x:v>
      </x:c>
      <x:c r="B79" t="str">
        <x:f>_xlfn.IFNA(INDEX(Products[SKU],MATCH(A79,Products[Ранг наценки],0)),"")</x:f>
      </x:c>
      <x:c r="C79" t="str">
        <x:f>IF(B79="","",INDEX(Products[Товар],MATCH(B79,Products[SKU],0)))</x:f>
      </x:c>
      <x:c r="D79" s="21" t="str">
        <x:f>IF(B79="","",INDEX(Products[Наценка],MATCH(B79,Products[SKU],0)))</x:f>
      </x:c>
    </x:row>
    <x:row r="80">
      <x:c r="A80" t="n">
        <x:v>4</x:v>
      </x:c>
      <x:c r="B80" t="str">
        <x:f>_xlfn.IFNA(INDEX(Products[SKU],MATCH(A80,Products[Ранг наценки],0)),"")</x:f>
      </x:c>
      <x:c r="C80" t="str">
        <x:f>IF(B80="","",INDEX(Products[Товар],MATCH(B80,Products[SKU],0)))</x:f>
      </x:c>
      <x:c r="D80" s="21" t="str">
        <x:f>IF(B80="","",INDEX(Products[Наценка],MATCH(B80,Products[SKU],0)))</x:f>
      </x:c>
    </x:row>
    <x:row r="81">
      <x:c r="A81" t="n">
        <x:v>5</x:v>
      </x:c>
      <x:c r="B81" t="str">
        <x:f>_xlfn.IFNA(INDEX(Products[SKU],MATCH(A81,Products[Ранг наценки],0)),"")</x:f>
      </x:c>
      <x:c r="C81" t="str">
        <x:f>IF(B81="","",INDEX(Products[Товар],MATCH(B81,Products[SKU],0)))</x:f>
      </x:c>
      <x:c r="D81" s="21" t="str">
        <x:f>IF(B81="","",INDEX(Products[Наценка],MATCH(B81,Products[SKU],0)))</x:f>
      </x:c>
    </x:row>
    <x:row r="82">
      <x:c r="A82" t="n">
        <x:v>6</x:v>
      </x:c>
      <x:c r="B82" t="str">
        <x:f>_xlfn.IFNA(INDEX(Products[SKU],MATCH(A82,Products[Ранг наценки],0)),"")</x:f>
      </x:c>
      <x:c r="C82" t="str">
        <x:f>IF(B82="","",INDEX(Products[Товар],MATCH(B82,Products[SKU],0)))</x:f>
      </x:c>
      <x:c r="D82" s="21" t="str">
        <x:f>IF(B82="","",INDEX(Products[Наценка],MATCH(B82,Products[SKU],0)))</x:f>
      </x:c>
    </x:row>
    <x:row r="83">
      <x:c r="A83" t="n">
        <x:v>7</x:v>
      </x:c>
      <x:c r="B83" t="str">
        <x:f>_xlfn.IFNA(INDEX(Products[SKU],MATCH(A83,Products[Ранг наценки],0)),"")</x:f>
      </x:c>
      <x:c r="C83" t="str">
        <x:f>IF(B83="","",INDEX(Products[Товар],MATCH(B83,Products[SKU],0)))</x:f>
      </x:c>
      <x:c r="D83" s="21" t="str">
        <x:f>IF(B83="","",INDEX(Products[Наценка],MATCH(B83,Products[SKU],0)))</x:f>
      </x:c>
    </x:row>
    <x:row r="84">
      <x:c r="A84" t="n">
        <x:v>8</x:v>
      </x:c>
      <x:c r="B84" t="str">
        <x:f>_xlfn.IFNA(INDEX(Products[SKU],MATCH(A84,Products[Ранг наценки],0)),"")</x:f>
      </x:c>
      <x:c r="C84" t="str">
        <x:f>IF(B84="","",INDEX(Products[Товар],MATCH(B84,Products[SKU],0)))</x:f>
      </x:c>
      <x:c r="D84" s="21" t="str">
        <x:f>IF(B84="","",INDEX(Products[Наценка],MATCH(B84,Products[SKU],0)))</x:f>
      </x:c>
    </x:row>
    <x:row r="85">
      <x:c r="A85" t="n">
        <x:v>9</x:v>
      </x:c>
      <x:c r="B85" t="str">
        <x:f>_xlfn.IFNA(INDEX(Products[SKU],MATCH(A85,Products[Ранг наценки],0)),"")</x:f>
      </x:c>
      <x:c r="C85" t="str">
        <x:f>IF(B85="","",INDEX(Products[Товар],MATCH(B85,Products[SKU],0)))</x:f>
      </x:c>
      <x:c r="D85" s="21" t="str">
        <x:f>IF(B85="","",INDEX(Products[Наценка],MATCH(B85,Products[SKU],0)))</x:f>
      </x:c>
    </x:row>
    <x:row r="86">
      <x:c r="A86" t="n">
        <x:v>10</x:v>
      </x:c>
      <x:c r="B86" t="str">
        <x:f>_xlfn.IFNA(INDEX(Products[SKU],MATCH(A86,Products[Ранг наценки],0)),"")</x:f>
      </x:c>
      <x:c r="C86" t="str">
        <x:f>IF(B86="","",INDEX(Products[Товар],MATCH(B86,Products[SKU],0)))</x:f>
      </x:c>
      <x:c r="D86" s="21" t="str">
        <x:f>IF(B86="","",INDEX(Products[Наценка],MATCH(B86,Products[SKU],0)))</x:f>
      </x:c>
    </x:row>
    <x:row r="87">
      <x:c r="A87" t="n">
        <x:v>11</x:v>
      </x:c>
      <x:c r="B87" t="str">
        <x:f>_xlfn.IFNA(INDEX(Products[SKU],MATCH(A87,Products[Ранг наценки],0)),"")</x:f>
      </x:c>
      <x:c r="C87" t="str">
        <x:f>IF(B87="","",INDEX(Products[Товар],MATCH(B87,Products[SKU],0)))</x:f>
      </x:c>
      <x:c r="D87" s="21" t="str">
        <x:f>IF(B87="","",INDEX(Products[Наценка],MATCH(B87,Products[SKU],0)))</x:f>
      </x:c>
    </x:row>
    <x:row r="88">
      <x:c r="A88" t="n">
        <x:v>12</x:v>
      </x:c>
      <x:c r="B88" t="str">
        <x:f>_xlfn.IFNA(INDEX(Products[SKU],MATCH(A88,Products[Ранг наценки],0)),"")</x:f>
      </x:c>
      <x:c r="C88" t="str">
        <x:f>IF(B88="","",INDEX(Products[Товар],MATCH(B88,Products[SKU],0)))</x:f>
      </x:c>
      <x:c r="D88" s="21" t="str">
        <x:f>IF(B88="","",INDEX(Products[Наценка],MATCH(B88,Products[SKU],0)))</x:f>
      </x:c>
    </x:row>
    <x:row r="89">
      <x:c r="A89" t="n">
        <x:v>13</x:v>
      </x:c>
      <x:c r="B89" t="str">
        <x:f>_xlfn.IFNA(INDEX(Products[SKU],MATCH(A89,Products[Ранг наценки],0)),"")</x:f>
      </x:c>
      <x:c r="C89" t="str">
        <x:f>IF(B89="","",INDEX(Products[Товар],MATCH(B89,Products[SKU],0)))</x:f>
      </x:c>
      <x:c r="D89" s="21" t="str">
        <x:f>IF(B89="","",INDEX(Products[Наценка],MATCH(B89,Products[SKU],0)))</x:f>
      </x:c>
    </x:row>
    <x:row r="90">
      <x:c r="A90" t="n">
        <x:v>14</x:v>
      </x:c>
      <x:c r="B90" t="str">
        <x:f>_xlfn.IFNA(INDEX(Products[SKU],MATCH(A90,Products[Ранг наценки],0)),"")</x:f>
      </x:c>
      <x:c r="C90" t="str">
        <x:f>IF(B90="","",INDEX(Products[Товар],MATCH(B90,Products[SKU],0)))</x:f>
      </x:c>
      <x:c r="D90" s="21" t="str">
        <x:f>IF(B90="","",INDEX(Products[Наценка],MATCH(B90,Products[SKU],0)))</x:f>
      </x:c>
    </x:row>
    <x:row r="91">
      <x:c r="A91" t="n">
        <x:v>15</x:v>
      </x:c>
      <x:c r="B91" t="str">
        <x:f>_xlfn.IFNA(INDEX(Products[SKU],MATCH(A91,Products[Ранг наценки],0)),"")</x:f>
      </x:c>
      <x:c r="C91" t="str">
        <x:f>IF(B91="","",INDEX(Products[Товар],MATCH(B91,Products[SKU],0)))</x:f>
      </x:c>
      <x:c r="D91" s="21" t="str">
        <x:f>IF(B91="","",INDEX(Products[Наценка],MATCH(B91,Products[SKU],0)))</x:f>
      </x:c>
    </x:row>
    <x:row r="92">
      <x:c r="A92" t="n">
        <x:v>16</x:v>
      </x:c>
      <x:c r="B92" t="str">
        <x:f>_xlfn.IFNA(INDEX(Products[SKU],MATCH(A92,Products[Ранг наценки],0)),"")</x:f>
      </x:c>
      <x:c r="C92" t="str">
        <x:f>IF(B92="","",INDEX(Products[Товар],MATCH(B92,Products[SKU],0)))</x:f>
      </x:c>
      <x:c r="D92" s="21" t="str">
        <x:f>IF(B92="","",INDEX(Products[Наценка],MATCH(B92,Products[SKU],0)))</x:f>
      </x:c>
    </x:row>
    <x:row r="93">
      <x:c r="A93" t="n">
        <x:v>17</x:v>
      </x:c>
      <x:c r="B93" t="str">
        <x:f>_xlfn.IFNA(INDEX(Products[SKU],MATCH(A93,Products[Ранг наценки],0)),"")</x:f>
      </x:c>
      <x:c r="C93" t="str">
        <x:f>IF(B93="","",INDEX(Products[Товар],MATCH(B93,Products[SKU],0)))</x:f>
      </x:c>
      <x:c r="D93" s="21" t="str">
        <x:f>IF(B93="","",INDEX(Products[Наценка],MATCH(B93,Products[SKU],0)))</x:f>
      </x:c>
    </x:row>
    <x:row r="94">
      <x:c r="A94" t="n">
        <x:v>18</x:v>
      </x:c>
      <x:c r="B94" t="str">
        <x:f>_xlfn.IFNA(INDEX(Products[SKU],MATCH(A94,Products[Ранг наценки],0)),"")</x:f>
      </x:c>
      <x:c r="C94" t="str">
        <x:f>IF(B94="","",INDEX(Products[Товар],MATCH(B94,Products[SKU],0)))</x:f>
      </x:c>
      <x:c r="D94" s="21" t="str">
        <x:f>IF(B94="","",INDEX(Products[Наценка],MATCH(B94,Products[SKU],0)))</x:f>
      </x:c>
    </x:row>
    <x:row r="95">
      <x:c r="A95" t="n">
        <x:v>19</x:v>
      </x:c>
      <x:c r="B95" t="str">
        <x:f>_xlfn.IFNA(INDEX(Products[SKU],MATCH(A95,Products[Ранг наценки],0)),"")</x:f>
      </x:c>
      <x:c r="C95" t="str">
        <x:f>IF(B95="","",INDEX(Products[Товар],MATCH(B95,Products[SKU],0)))</x:f>
      </x:c>
      <x:c r="D95" s="21" t="str">
        <x:f>IF(B95="","",INDEX(Products[Наценка],MATCH(B95,Products[SKU],0)))</x:f>
      </x:c>
    </x:row>
    <x:row r="96">
      <x:c r="A96" t="n">
        <x:v>20</x:v>
      </x:c>
      <x:c r="B96" t="str">
        <x:f>_xlfn.IFNA(INDEX(Products[SKU],MATCH(A96,Products[Ранг наценки],0)),"")</x:f>
      </x:c>
      <x:c r="C96" t="str">
        <x:f>IF(B96="","",INDEX(Products[Товар],MATCH(B96,Products[SKU],0)))</x:f>
      </x:c>
      <x:c r="D96" s="21" t="str">
        <x:f>IF(B96="","",INDEX(Products[Наценка],MATCH(B96,Products[SKU],0)))</x:f>
      </x:c>
    </x:row>
    <x:row r="100">
      <x:c r="A100" s="8" t="str">
        <x:v>ТОП-20 · Убыток</x:v>
      </x:c>
      <x:c r="B100" s="8"/>
      <x:c r="C100" s="8"/>
      <x:c r="D100" s="8"/>
    </x:row>
    <x:row r="101">
      <x:c r="A101" t="n">
        <x:v>1</x:v>
      </x:c>
      <x:c r="B101" t="str">
        <x:f>_xlfn.IFNA(INDEX(Products[SKU],MATCH(A101,Products[Ранг убытка],0)),"")</x:f>
      </x:c>
      <x:c r="C101" t="str">
        <x:f>IF(B101="","",INDEX(Products[Товар],MATCH(B101,Products[SKU],0)))</x:f>
      </x:c>
      <x:c r="D101" s="20" t="str">
        <x:f>IF(B101="","",INDEX(Products[Убыток],MATCH(B101,Products[SKU],0)))</x:f>
      </x:c>
    </x:row>
    <x:row r="102">
      <x:c r="A102" t="n">
        <x:v>2</x:v>
      </x:c>
      <x:c r="B102" t="str">
        <x:f>_xlfn.IFNA(INDEX(Products[SKU],MATCH(A102,Products[Ранг убытка],0)),"")</x:f>
      </x:c>
      <x:c r="C102" t="str">
        <x:f>IF(B102="","",INDEX(Products[Товар],MATCH(B102,Products[SKU],0)))</x:f>
      </x:c>
      <x:c r="D102" s="20" t="str">
        <x:f>IF(B102="","",INDEX(Products[Убыток],MATCH(B102,Products[SKU],0)))</x:f>
      </x:c>
    </x:row>
    <x:row r="103">
      <x:c r="A103" t="n">
        <x:v>3</x:v>
      </x:c>
      <x:c r="B103" t="str">
        <x:f>_xlfn.IFNA(INDEX(Products[SKU],MATCH(A103,Products[Ранг убытка],0)),"")</x:f>
      </x:c>
      <x:c r="C103" t="str">
        <x:f>IF(B103="","",INDEX(Products[Товар],MATCH(B103,Products[SKU],0)))</x:f>
      </x:c>
      <x:c r="D103" s="20" t="str">
        <x:f>IF(B103="","",INDEX(Products[Убыток],MATCH(B103,Products[SKU],0)))</x:f>
      </x:c>
    </x:row>
    <x:row r="104">
      <x:c r="A104" t="n">
        <x:v>4</x:v>
      </x:c>
      <x:c r="B104" t="str">
        <x:f>_xlfn.IFNA(INDEX(Products[SKU],MATCH(A104,Products[Ранг убытка],0)),"")</x:f>
      </x:c>
      <x:c r="C104" t="str">
        <x:f>IF(B104="","",INDEX(Products[Товар],MATCH(B104,Products[SKU],0)))</x:f>
      </x:c>
      <x:c r="D104" s="20" t="str">
        <x:f>IF(B104="","",INDEX(Products[Убыток],MATCH(B104,Products[SKU],0)))</x:f>
      </x:c>
    </x:row>
    <x:row r="105">
      <x:c r="A105" t="n">
        <x:v>5</x:v>
      </x:c>
      <x:c r="B105" t="str">
        <x:f>_xlfn.IFNA(INDEX(Products[SKU],MATCH(A105,Products[Ранг убытка],0)),"")</x:f>
      </x:c>
      <x:c r="C105" t="str">
        <x:f>IF(B105="","",INDEX(Products[Товар],MATCH(B105,Products[SKU],0)))</x:f>
      </x:c>
      <x:c r="D105" s="20" t="str">
        <x:f>IF(B105="","",INDEX(Products[Убыток],MATCH(B105,Products[SKU],0)))</x:f>
      </x:c>
    </x:row>
    <x:row r="106">
      <x:c r="A106" t="n">
        <x:v>6</x:v>
      </x:c>
      <x:c r="B106" t="str">
        <x:f>_xlfn.IFNA(INDEX(Products[SKU],MATCH(A106,Products[Ранг убытка],0)),"")</x:f>
      </x:c>
      <x:c r="C106" t="str">
        <x:f>IF(B106="","",INDEX(Products[Товар],MATCH(B106,Products[SKU],0)))</x:f>
      </x:c>
      <x:c r="D106" s="20" t="str">
        <x:f>IF(B106="","",INDEX(Products[Убыток],MATCH(B106,Products[SKU],0)))</x:f>
      </x:c>
    </x:row>
    <x:row r="107">
      <x:c r="A107" t="n">
        <x:v>7</x:v>
      </x:c>
      <x:c r="B107" t="str">
        <x:f>_xlfn.IFNA(INDEX(Products[SKU],MATCH(A107,Products[Ранг убытка],0)),"")</x:f>
      </x:c>
      <x:c r="C107" t="str">
        <x:f>IF(B107="","",INDEX(Products[Товар],MATCH(B107,Products[SKU],0)))</x:f>
      </x:c>
      <x:c r="D107" s="20" t="str">
        <x:f>IF(B107="","",INDEX(Products[Убыток],MATCH(B107,Products[SKU],0)))</x:f>
      </x:c>
    </x:row>
    <x:row r="108">
      <x:c r="A108" t="n">
        <x:v>8</x:v>
      </x:c>
      <x:c r="B108" t="str">
        <x:f>_xlfn.IFNA(INDEX(Products[SKU],MATCH(A108,Products[Ранг убытка],0)),"")</x:f>
      </x:c>
      <x:c r="C108" t="str">
        <x:f>IF(B108="","",INDEX(Products[Товар],MATCH(B108,Products[SKU],0)))</x:f>
      </x:c>
      <x:c r="D108" s="20" t="str">
        <x:f>IF(B108="","",INDEX(Products[Убыток],MATCH(B108,Products[SKU],0)))</x:f>
      </x:c>
    </x:row>
    <x:row r="109">
      <x:c r="A109" t="n">
        <x:v>9</x:v>
      </x:c>
      <x:c r="B109" t="str">
        <x:f>_xlfn.IFNA(INDEX(Products[SKU],MATCH(A109,Products[Ранг убытка],0)),"")</x:f>
      </x:c>
      <x:c r="C109" t="str">
        <x:f>IF(B109="","",INDEX(Products[Товар],MATCH(B109,Products[SKU],0)))</x:f>
      </x:c>
      <x:c r="D109" s="20" t="str">
        <x:f>IF(B109="","",INDEX(Products[Убыток],MATCH(B109,Products[SKU],0)))</x:f>
      </x:c>
    </x:row>
    <x:row r="110">
      <x:c r="A110" t="n">
        <x:v>10</x:v>
      </x:c>
      <x:c r="B110" t="str">
        <x:f>_xlfn.IFNA(INDEX(Products[SKU],MATCH(A110,Products[Ранг убытка],0)),"")</x:f>
      </x:c>
      <x:c r="C110" t="str">
        <x:f>IF(B110="","",INDEX(Products[Товар],MATCH(B110,Products[SKU],0)))</x:f>
      </x:c>
      <x:c r="D110" s="20" t="str">
        <x:f>IF(B110="","",INDEX(Products[Убыток],MATCH(B110,Products[SKU],0)))</x:f>
      </x:c>
    </x:row>
    <x:row r="111">
      <x:c r="A111" t="n">
        <x:v>11</x:v>
      </x:c>
      <x:c r="B111" t="str">
        <x:f>_xlfn.IFNA(INDEX(Products[SKU],MATCH(A111,Products[Ранг убытка],0)),"")</x:f>
      </x:c>
      <x:c r="C111" t="str">
        <x:f>IF(B111="","",INDEX(Products[Товар],MATCH(B111,Products[SKU],0)))</x:f>
      </x:c>
      <x:c r="D111" s="20" t="str">
        <x:f>IF(B111="","",INDEX(Products[Убыток],MATCH(B111,Products[SKU],0)))</x:f>
      </x:c>
    </x:row>
    <x:row r="112">
      <x:c r="A112" t="n">
        <x:v>12</x:v>
      </x:c>
      <x:c r="B112" t="str">
        <x:f>_xlfn.IFNA(INDEX(Products[SKU],MATCH(A112,Products[Ранг убытка],0)),"")</x:f>
      </x:c>
      <x:c r="C112" t="str">
        <x:f>IF(B112="","",INDEX(Products[Товар],MATCH(B112,Products[SKU],0)))</x:f>
      </x:c>
      <x:c r="D112" s="20" t="str">
        <x:f>IF(B112="","",INDEX(Products[Убыток],MATCH(B112,Products[SKU],0)))</x:f>
      </x:c>
    </x:row>
    <x:row r="113">
      <x:c r="A113" t="n">
        <x:v>13</x:v>
      </x:c>
      <x:c r="B113" t="str">
        <x:f>_xlfn.IFNA(INDEX(Products[SKU],MATCH(A113,Products[Ранг убытка],0)),"")</x:f>
      </x:c>
      <x:c r="C113" t="str">
        <x:f>IF(B113="","",INDEX(Products[Товар],MATCH(B113,Products[SKU],0)))</x:f>
      </x:c>
      <x:c r="D113" s="20" t="str">
        <x:f>IF(B113="","",INDEX(Products[Убыток],MATCH(B113,Products[SKU],0)))</x:f>
      </x:c>
    </x:row>
    <x:row r="114">
      <x:c r="A114" t="n">
        <x:v>14</x:v>
      </x:c>
      <x:c r="B114" t="str">
        <x:f>_xlfn.IFNA(INDEX(Products[SKU],MATCH(A114,Products[Ранг убытка],0)),"")</x:f>
      </x:c>
      <x:c r="C114" t="str">
        <x:f>IF(B114="","",INDEX(Products[Товар],MATCH(B114,Products[SKU],0)))</x:f>
      </x:c>
      <x:c r="D114" s="20" t="str">
        <x:f>IF(B114="","",INDEX(Products[Убыток],MATCH(B114,Products[SKU],0)))</x:f>
      </x:c>
    </x:row>
    <x:row r="115">
      <x:c r="A115" t="n">
        <x:v>15</x:v>
      </x:c>
      <x:c r="B115" t="str">
        <x:f>_xlfn.IFNA(INDEX(Products[SKU],MATCH(A115,Products[Ранг убытка],0)),"")</x:f>
      </x:c>
      <x:c r="C115" t="str">
        <x:f>IF(B115="","",INDEX(Products[Товар],MATCH(B115,Products[SKU],0)))</x:f>
      </x:c>
      <x:c r="D115" s="20" t="str">
        <x:f>IF(B115="","",INDEX(Products[Убыток],MATCH(B115,Products[SKU],0)))</x:f>
      </x:c>
    </x:row>
    <x:row r="116">
      <x:c r="A116" t="n">
        <x:v>16</x:v>
      </x:c>
      <x:c r="B116" t="str">
        <x:f>_xlfn.IFNA(INDEX(Products[SKU],MATCH(A116,Products[Ранг убытка],0)),"")</x:f>
      </x:c>
      <x:c r="C116" t="str">
        <x:f>IF(B116="","",INDEX(Products[Товар],MATCH(B116,Products[SKU],0)))</x:f>
      </x:c>
      <x:c r="D116" s="20" t="str">
        <x:f>IF(B116="","",INDEX(Products[Убыток],MATCH(B116,Products[SKU],0)))</x:f>
      </x:c>
    </x:row>
    <x:row r="117">
      <x:c r="A117" t="n">
        <x:v>17</x:v>
      </x:c>
      <x:c r="B117" t="str">
        <x:f>_xlfn.IFNA(INDEX(Products[SKU],MATCH(A117,Products[Ранг убытка],0)),"")</x:f>
      </x:c>
      <x:c r="C117" t="str">
        <x:f>IF(B117="","",INDEX(Products[Товар],MATCH(B117,Products[SKU],0)))</x:f>
      </x:c>
      <x:c r="D117" s="20" t="str">
        <x:f>IF(B117="","",INDEX(Products[Убыток],MATCH(B117,Products[SKU],0)))</x:f>
      </x:c>
    </x:row>
    <x:row r="118">
      <x:c r="A118" t="n">
        <x:v>18</x:v>
      </x:c>
      <x:c r="B118" t="str">
        <x:f>_xlfn.IFNA(INDEX(Products[SKU],MATCH(A118,Products[Ранг убытка],0)),"")</x:f>
      </x:c>
      <x:c r="C118" t="str">
        <x:f>IF(B118="","",INDEX(Products[Товар],MATCH(B118,Products[SKU],0)))</x:f>
      </x:c>
      <x:c r="D118" s="20" t="str">
        <x:f>IF(B118="","",INDEX(Products[Убыток],MATCH(B118,Products[SKU],0)))</x:f>
      </x:c>
    </x:row>
    <x:row r="119">
      <x:c r="A119" t="n">
        <x:v>19</x:v>
      </x:c>
      <x:c r="B119" t="str">
        <x:f>_xlfn.IFNA(INDEX(Products[SKU],MATCH(A119,Products[Ранг убытка],0)),"")</x:f>
      </x:c>
      <x:c r="C119" t="str">
        <x:f>IF(B119="","",INDEX(Products[Товар],MATCH(B119,Products[SKU],0)))</x:f>
      </x:c>
      <x:c r="D119" s="20" t="str">
        <x:f>IF(B119="","",INDEX(Products[Убыток],MATCH(B119,Products[SKU],0)))</x:f>
      </x:c>
    </x:row>
    <x:row r="120">
      <x:c r="A120" t="n">
        <x:v>20</x:v>
      </x:c>
      <x:c r="B120" t="str">
        <x:f>_xlfn.IFNA(INDEX(Products[SKU],MATCH(A120,Products[Ранг убытка],0)),"")</x:f>
      </x:c>
      <x:c r="C120" t="str">
        <x:f>IF(B120="","",INDEX(Products[Товар],MATCH(B120,Products[SKU],0)))</x:f>
      </x:c>
      <x:c r="D120" s="20" t="str">
        <x:f>IF(B120="","",INDEX(Products[Убыток],MATCH(B120,Products[SKU],0)))</x:f>
      </x:c>
    </x:row>
    <x:row r="124">
      <x:c r="A124" s="8" t="str">
        <x:v>ТОП-20 · Возвраты шт.</x:v>
      </x:c>
      <x:c r="B124" s="8"/>
      <x:c r="C124" s="8"/>
      <x:c r="D124" s="8"/>
    </x:row>
    <x:row r="125">
      <x:c r="A125" t="n">
        <x:v>1</x:v>
      </x:c>
      <x:c r="B125" t="str">
        <x:f>_xlfn.IFNA(INDEX(Products[SKU],MATCH(A125,Products[Ранг возвратов],0)),"")</x:f>
      </x:c>
      <x:c r="C125" t="str">
        <x:f>IF(B125="","",INDEX(Products[Товар],MATCH(B125,Products[SKU],0)))</x:f>
      </x:c>
      <x:c r="D125" s="22" t="str">
        <x:f>IF(B125="","",INDEX(Products[Возвраты шт.],MATCH(B125,Products[SKU],0)))</x:f>
      </x:c>
    </x:row>
    <x:row r="126">
      <x:c r="A126" t="n">
        <x:v>2</x:v>
      </x:c>
      <x:c r="B126" t="str">
        <x:f>_xlfn.IFNA(INDEX(Products[SKU],MATCH(A126,Products[Ранг возвратов],0)),"")</x:f>
      </x:c>
      <x:c r="C126" t="str">
        <x:f>IF(B126="","",INDEX(Products[Товар],MATCH(B126,Products[SKU],0)))</x:f>
      </x:c>
      <x:c r="D126" s="22" t="str">
        <x:f>IF(B126="","",INDEX(Products[Возвраты шт.],MATCH(B126,Products[SKU],0)))</x:f>
      </x:c>
    </x:row>
    <x:row r="127">
      <x:c r="A127" t="n">
        <x:v>3</x:v>
      </x:c>
      <x:c r="B127" t="str">
        <x:f>_xlfn.IFNA(INDEX(Products[SKU],MATCH(A127,Products[Ранг возвратов],0)),"")</x:f>
      </x:c>
      <x:c r="C127" t="str">
        <x:f>IF(B127="","",INDEX(Products[Товар],MATCH(B127,Products[SKU],0)))</x:f>
      </x:c>
      <x:c r="D127" s="22" t="str">
        <x:f>IF(B127="","",INDEX(Products[Возвраты шт.],MATCH(B127,Products[SKU],0)))</x:f>
      </x:c>
    </x:row>
    <x:row r="128">
      <x:c r="A128" t="n">
        <x:v>4</x:v>
      </x:c>
      <x:c r="B128" t="str">
        <x:f>_xlfn.IFNA(INDEX(Products[SKU],MATCH(A128,Products[Ранг возвратов],0)),"")</x:f>
      </x:c>
      <x:c r="C128" t="str">
        <x:f>IF(B128="","",INDEX(Products[Товар],MATCH(B128,Products[SKU],0)))</x:f>
      </x:c>
      <x:c r="D128" s="22" t="str">
        <x:f>IF(B128="","",INDEX(Products[Возвраты шт.],MATCH(B128,Products[SKU],0)))</x:f>
      </x:c>
    </x:row>
    <x:row r="129">
      <x:c r="A129" t="n">
        <x:v>5</x:v>
      </x:c>
      <x:c r="B129" t="str">
        <x:f>_xlfn.IFNA(INDEX(Products[SKU],MATCH(A129,Products[Ранг возвратов],0)),"")</x:f>
      </x:c>
      <x:c r="C129" t="str">
        <x:f>IF(B129="","",INDEX(Products[Товар],MATCH(B129,Products[SKU],0)))</x:f>
      </x:c>
      <x:c r="D129" s="22" t="str">
        <x:f>IF(B129="","",INDEX(Products[Возвраты шт.],MATCH(B129,Products[SKU],0)))</x:f>
      </x:c>
    </x:row>
    <x:row r="130">
      <x:c r="A130" t="n">
        <x:v>6</x:v>
      </x:c>
      <x:c r="B130" t="str">
        <x:f>_xlfn.IFNA(INDEX(Products[SKU],MATCH(A130,Products[Ранг возвратов],0)),"")</x:f>
      </x:c>
      <x:c r="C130" t="str">
        <x:f>IF(B130="","",INDEX(Products[Товар],MATCH(B130,Products[SKU],0)))</x:f>
      </x:c>
      <x:c r="D130" s="22" t="str">
        <x:f>IF(B130="","",INDEX(Products[Возвраты шт.],MATCH(B130,Products[SKU],0)))</x:f>
      </x:c>
    </x:row>
    <x:row r="131">
      <x:c r="A131" t="n">
        <x:v>7</x:v>
      </x:c>
      <x:c r="B131" t="str">
        <x:f>_xlfn.IFNA(INDEX(Products[SKU],MATCH(A131,Products[Ранг возвратов],0)),"")</x:f>
      </x:c>
      <x:c r="C131" t="str">
        <x:f>IF(B131="","",INDEX(Products[Товар],MATCH(B131,Products[SKU],0)))</x:f>
      </x:c>
      <x:c r="D131" s="22" t="str">
        <x:f>IF(B131="","",INDEX(Products[Возвраты шт.],MATCH(B131,Products[SKU],0)))</x:f>
      </x:c>
    </x:row>
    <x:row r="132">
      <x:c r="A132" t="n">
        <x:v>8</x:v>
      </x:c>
      <x:c r="B132" t="str">
        <x:f>_xlfn.IFNA(INDEX(Products[SKU],MATCH(A132,Products[Ранг возвратов],0)),"")</x:f>
      </x:c>
      <x:c r="C132" t="str">
        <x:f>IF(B132="","",INDEX(Products[Товар],MATCH(B132,Products[SKU],0)))</x:f>
      </x:c>
      <x:c r="D132" s="22" t="str">
        <x:f>IF(B132="","",INDEX(Products[Возвраты шт.],MATCH(B132,Products[SKU],0)))</x:f>
      </x:c>
    </x:row>
    <x:row r="133">
      <x:c r="A133" t="n">
        <x:v>9</x:v>
      </x:c>
      <x:c r="B133" t="str">
        <x:f>_xlfn.IFNA(INDEX(Products[SKU],MATCH(A133,Products[Ранг возвратов],0)),"")</x:f>
      </x:c>
      <x:c r="C133" t="str">
        <x:f>IF(B133="","",INDEX(Products[Товар],MATCH(B133,Products[SKU],0)))</x:f>
      </x:c>
      <x:c r="D133" s="22" t="str">
        <x:f>IF(B133="","",INDEX(Products[Возвраты шт.],MATCH(B133,Products[SKU],0)))</x:f>
      </x:c>
    </x:row>
    <x:row r="134">
      <x:c r="A134" t="n">
        <x:v>10</x:v>
      </x:c>
      <x:c r="B134" t="str">
        <x:f>_xlfn.IFNA(INDEX(Products[SKU],MATCH(A134,Products[Ранг возвратов],0)),"")</x:f>
      </x:c>
      <x:c r="C134" t="str">
        <x:f>IF(B134="","",INDEX(Products[Товар],MATCH(B134,Products[SKU],0)))</x:f>
      </x:c>
      <x:c r="D134" s="22" t="str">
        <x:f>IF(B134="","",INDEX(Products[Возвраты шт.],MATCH(B134,Products[SKU],0)))</x:f>
      </x:c>
    </x:row>
    <x:row r="135">
      <x:c r="A135" t="n">
        <x:v>11</x:v>
      </x:c>
      <x:c r="B135" t="str">
        <x:f>_xlfn.IFNA(INDEX(Products[SKU],MATCH(A135,Products[Ранг возвратов],0)),"")</x:f>
      </x:c>
      <x:c r="C135" t="str">
        <x:f>IF(B135="","",INDEX(Products[Товар],MATCH(B135,Products[SKU],0)))</x:f>
      </x:c>
      <x:c r="D135" s="22" t="str">
        <x:f>IF(B135="","",INDEX(Products[Возвраты шт.],MATCH(B135,Products[SKU],0)))</x:f>
      </x:c>
    </x:row>
    <x:row r="136">
      <x:c r="A136" t="n">
        <x:v>12</x:v>
      </x:c>
      <x:c r="B136" t="str">
        <x:f>_xlfn.IFNA(INDEX(Products[SKU],MATCH(A136,Products[Ранг возвратов],0)),"")</x:f>
      </x:c>
      <x:c r="C136" t="str">
        <x:f>IF(B136="","",INDEX(Products[Товар],MATCH(B136,Products[SKU],0)))</x:f>
      </x:c>
      <x:c r="D136" s="22" t="str">
        <x:f>IF(B136="","",INDEX(Products[Возвраты шт.],MATCH(B136,Products[SKU],0)))</x:f>
      </x:c>
    </x:row>
    <x:row r="137">
      <x:c r="A137" t="n">
        <x:v>13</x:v>
      </x:c>
      <x:c r="B137" t="str">
        <x:f>_xlfn.IFNA(INDEX(Products[SKU],MATCH(A137,Products[Ранг возвратов],0)),"")</x:f>
      </x:c>
      <x:c r="C137" t="str">
        <x:f>IF(B137="","",INDEX(Products[Товар],MATCH(B137,Products[SKU],0)))</x:f>
      </x:c>
      <x:c r="D137" s="22" t="str">
        <x:f>IF(B137="","",INDEX(Products[Возвраты шт.],MATCH(B137,Products[SKU],0)))</x:f>
      </x:c>
    </x:row>
    <x:row r="138">
      <x:c r="A138" t="n">
        <x:v>14</x:v>
      </x:c>
      <x:c r="B138" t="str">
        <x:f>_xlfn.IFNA(INDEX(Products[SKU],MATCH(A138,Products[Ранг возвратов],0)),"")</x:f>
      </x:c>
      <x:c r="C138" t="str">
        <x:f>IF(B138="","",INDEX(Products[Товар],MATCH(B138,Products[SKU],0)))</x:f>
      </x:c>
      <x:c r="D138" s="22" t="str">
        <x:f>IF(B138="","",INDEX(Products[Возвраты шт.],MATCH(B138,Products[SKU],0)))</x:f>
      </x:c>
    </x:row>
    <x:row r="139">
      <x:c r="A139" t="n">
        <x:v>15</x:v>
      </x:c>
      <x:c r="B139" t="str">
        <x:f>_xlfn.IFNA(INDEX(Products[SKU],MATCH(A139,Products[Ранг возвратов],0)),"")</x:f>
      </x:c>
      <x:c r="C139" t="str">
        <x:f>IF(B139="","",INDEX(Products[Товар],MATCH(B139,Products[SKU],0)))</x:f>
      </x:c>
      <x:c r="D139" s="22" t="str">
        <x:f>IF(B139="","",INDEX(Products[Возвраты шт.],MATCH(B139,Products[SKU],0)))</x:f>
      </x:c>
    </x:row>
    <x:row r="140">
      <x:c r="A140" t="n">
        <x:v>16</x:v>
      </x:c>
      <x:c r="B140" t="str">
        <x:f>_xlfn.IFNA(INDEX(Products[SKU],MATCH(A140,Products[Ранг возвратов],0)),"")</x:f>
      </x:c>
      <x:c r="C140" t="str">
        <x:f>IF(B140="","",INDEX(Products[Товар],MATCH(B140,Products[SKU],0)))</x:f>
      </x:c>
      <x:c r="D140" s="22" t="str">
        <x:f>IF(B140="","",INDEX(Products[Возвраты шт.],MATCH(B140,Products[SKU],0)))</x:f>
      </x:c>
    </x:row>
    <x:row r="141">
      <x:c r="A141" t="n">
        <x:v>17</x:v>
      </x:c>
      <x:c r="B141" t="str">
        <x:f>_xlfn.IFNA(INDEX(Products[SKU],MATCH(A141,Products[Ранг возвратов],0)),"")</x:f>
      </x:c>
      <x:c r="C141" t="str">
        <x:f>IF(B141="","",INDEX(Products[Товар],MATCH(B141,Products[SKU],0)))</x:f>
      </x:c>
      <x:c r="D141" s="22" t="str">
        <x:f>IF(B141="","",INDEX(Products[Возвраты шт.],MATCH(B141,Products[SKU],0)))</x:f>
      </x:c>
    </x:row>
    <x:row r="142">
      <x:c r="A142" t="n">
        <x:v>18</x:v>
      </x:c>
      <x:c r="B142" t="str">
        <x:f>_xlfn.IFNA(INDEX(Products[SKU],MATCH(A142,Products[Ранг возвратов],0)),"")</x:f>
      </x:c>
      <x:c r="C142" t="str">
        <x:f>IF(B142="","",INDEX(Products[Товар],MATCH(B142,Products[SKU],0)))</x:f>
      </x:c>
      <x:c r="D142" s="22" t="str">
        <x:f>IF(B142="","",INDEX(Products[Возвраты шт.],MATCH(B142,Products[SKU],0)))</x:f>
      </x:c>
    </x:row>
    <x:row r="143">
      <x:c r="A143" t="n">
        <x:v>19</x:v>
      </x:c>
      <x:c r="B143" t="str">
        <x:f>_xlfn.IFNA(INDEX(Products[SKU],MATCH(A143,Products[Ранг возвратов],0)),"")</x:f>
      </x:c>
      <x:c r="C143" t="str">
        <x:f>IF(B143="","",INDEX(Products[Товар],MATCH(B143,Products[SKU],0)))</x:f>
      </x:c>
      <x:c r="D143" s="22" t="str">
        <x:f>IF(B143="","",INDEX(Products[Возвраты шт.],MATCH(B143,Products[SKU],0)))</x:f>
      </x:c>
    </x:row>
    <x:row r="144">
      <x:c r="A144" t="n">
        <x:v>20</x:v>
      </x:c>
      <x:c r="B144" t="str">
        <x:f>_xlfn.IFNA(INDEX(Products[SKU],MATCH(A144,Products[Ранг возвратов],0)),"")</x:f>
      </x:c>
      <x:c r="C144" t="str">
        <x:f>IF(B144="","",INDEX(Products[Товар],MATCH(B144,Products[SKU],0)))</x:f>
      </x:c>
      <x:c r="D144" s="22" t="str">
        <x:f>IF(B144="","",INDEX(Products[Возвраты шт.],MATCH(B144,Products[SKU],0)))</x:f>
      </x:c>
    </x:row>
    <x:row r="148">
      <x:c r="A148" s="8" t="str">
        <x:v>ТОП-20 · Отмены шт.</x:v>
      </x:c>
      <x:c r="B148" s="8"/>
      <x:c r="C148" s="8"/>
      <x:c r="D148" s="8"/>
    </x:row>
    <x:row r="149">
      <x:c r="A149" t="n">
        <x:v>1</x:v>
      </x:c>
      <x:c r="B149" t="str">
        <x:f>_xlfn.IFNA(INDEX(Products[SKU],MATCH(A149,Products[Ранг отмен],0)),"")</x:f>
      </x:c>
      <x:c r="C149" t="str">
        <x:f>IF(B149="","",INDEX(Products[Товар],MATCH(B149,Products[SKU],0)))</x:f>
      </x:c>
      <x:c r="D149" s="22" t="str">
        <x:f>IF(B149="","",INDEX(Products[Отмены шт.],MATCH(B149,Products[SKU],0)))</x:f>
      </x:c>
    </x:row>
    <x:row r="150">
      <x:c r="A150" t="n">
        <x:v>2</x:v>
      </x:c>
      <x:c r="B150" t="str">
        <x:f>_xlfn.IFNA(INDEX(Products[SKU],MATCH(A150,Products[Ранг отмен],0)),"")</x:f>
      </x:c>
      <x:c r="C150" t="str">
        <x:f>IF(B150="","",INDEX(Products[Товар],MATCH(B150,Products[SKU],0)))</x:f>
      </x:c>
      <x:c r="D150" s="22" t="str">
        <x:f>IF(B150="","",INDEX(Products[Отмены шт.],MATCH(B150,Products[SKU],0)))</x:f>
      </x:c>
    </x:row>
    <x:row r="151">
      <x:c r="A151" t="n">
        <x:v>3</x:v>
      </x:c>
      <x:c r="B151" t="str">
        <x:f>_xlfn.IFNA(INDEX(Products[SKU],MATCH(A151,Products[Ранг отмен],0)),"")</x:f>
      </x:c>
      <x:c r="C151" t="str">
        <x:f>IF(B151="","",INDEX(Products[Товар],MATCH(B151,Products[SKU],0)))</x:f>
      </x:c>
      <x:c r="D151" s="22" t="str">
        <x:f>IF(B151="","",INDEX(Products[Отмены шт.],MATCH(B151,Products[SKU],0)))</x:f>
      </x:c>
    </x:row>
    <x:row r="152">
      <x:c r="A152" t="n">
        <x:v>4</x:v>
      </x:c>
      <x:c r="B152" t="str">
        <x:f>_xlfn.IFNA(INDEX(Products[SKU],MATCH(A152,Products[Ранг отмен],0)),"")</x:f>
      </x:c>
      <x:c r="C152" t="str">
        <x:f>IF(B152="","",INDEX(Products[Товар],MATCH(B152,Products[SKU],0)))</x:f>
      </x:c>
      <x:c r="D152" s="22" t="str">
        <x:f>IF(B152="","",INDEX(Products[Отмены шт.],MATCH(B152,Products[SKU],0)))</x:f>
      </x:c>
    </x:row>
    <x:row r="153">
      <x:c r="A153" t="n">
        <x:v>5</x:v>
      </x:c>
      <x:c r="B153" t="str">
        <x:f>_xlfn.IFNA(INDEX(Products[SKU],MATCH(A153,Products[Ранг отмен],0)),"")</x:f>
      </x:c>
      <x:c r="C153" t="str">
        <x:f>IF(B153="","",INDEX(Products[Товар],MATCH(B153,Products[SKU],0)))</x:f>
      </x:c>
      <x:c r="D153" s="22" t="str">
        <x:f>IF(B153="","",INDEX(Products[Отмены шт.],MATCH(B153,Products[SKU],0)))</x:f>
      </x:c>
    </x:row>
    <x:row r="154">
      <x:c r="A154" t="n">
        <x:v>6</x:v>
      </x:c>
      <x:c r="B154" t="str">
        <x:f>_xlfn.IFNA(INDEX(Products[SKU],MATCH(A154,Products[Ранг отмен],0)),"")</x:f>
      </x:c>
      <x:c r="C154" t="str">
        <x:f>IF(B154="","",INDEX(Products[Товар],MATCH(B154,Products[SKU],0)))</x:f>
      </x:c>
      <x:c r="D154" s="22" t="str">
        <x:f>IF(B154="","",INDEX(Products[Отмены шт.],MATCH(B154,Products[SKU],0)))</x:f>
      </x:c>
    </x:row>
    <x:row r="155">
      <x:c r="A155" t="n">
        <x:v>7</x:v>
      </x:c>
      <x:c r="B155" t="str">
        <x:f>_xlfn.IFNA(INDEX(Products[SKU],MATCH(A155,Products[Ранг отмен],0)),"")</x:f>
      </x:c>
      <x:c r="C155" t="str">
        <x:f>IF(B155="","",INDEX(Products[Товар],MATCH(B155,Products[SKU],0)))</x:f>
      </x:c>
      <x:c r="D155" s="22" t="str">
        <x:f>IF(B155="","",INDEX(Products[Отмены шт.],MATCH(B155,Products[SKU],0)))</x:f>
      </x:c>
    </x:row>
    <x:row r="156">
      <x:c r="A156" t="n">
        <x:v>8</x:v>
      </x:c>
      <x:c r="B156" t="str">
        <x:f>_xlfn.IFNA(INDEX(Products[SKU],MATCH(A156,Products[Ранг отмен],0)),"")</x:f>
      </x:c>
      <x:c r="C156" t="str">
        <x:f>IF(B156="","",INDEX(Products[Товар],MATCH(B156,Products[SKU],0)))</x:f>
      </x:c>
      <x:c r="D156" s="22" t="str">
        <x:f>IF(B156="","",INDEX(Products[Отмены шт.],MATCH(B156,Products[SKU],0)))</x:f>
      </x:c>
    </x:row>
    <x:row r="157">
      <x:c r="A157" t="n">
        <x:v>9</x:v>
      </x:c>
      <x:c r="B157" t="str">
        <x:f>_xlfn.IFNA(INDEX(Products[SKU],MATCH(A157,Products[Ранг отмен],0)),"")</x:f>
      </x:c>
      <x:c r="C157" t="str">
        <x:f>IF(B157="","",INDEX(Products[Товар],MATCH(B157,Products[SKU],0)))</x:f>
      </x:c>
      <x:c r="D157" s="22" t="str">
        <x:f>IF(B157="","",INDEX(Products[Отмены шт.],MATCH(B157,Products[SKU],0)))</x:f>
      </x:c>
    </x:row>
    <x:row r="158">
      <x:c r="A158" t="n">
        <x:v>10</x:v>
      </x:c>
      <x:c r="B158" t="str">
        <x:f>_xlfn.IFNA(INDEX(Products[SKU],MATCH(A158,Products[Ранг отмен],0)),"")</x:f>
      </x:c>
      <x:c r="C158" t="str">
        <x:f>IF(B158="","",INDEX(Products[Товар],MATCH(B158,Products[SKU],0)))</x:f>
      </x:c>
      <x:c r="D158" s="22" t="str">
        <x:f>IF(B158="","",INDEX(Products[Отмены шт.],MATCH(B158,Products[SKU],0)))</x:f>
      </x:c>
    </x:row>
    <x:row r="159">
      <x:c r="A159" t="n">
        <x:v>11</x:v>
      </x:c>
      <x:c r="B159" t="str">
        <x:f>_xlfn.IFNA(INDEX(Products[SKU],MATCH(A159,Products[Ранг отмен],0)),"")</x:f>
      </x:c>
      <x:c r="C159" t="str">
        <x:f>IF(B159="","",INDEX(Products[Товар],MATCH(B159,Products[SKU],0)))</x:f>
      </x:c>
      <x:c r="D159" s="22" t="str">
        <x:f>IF(B159="","",INDEX(Products[Отмены шт.],MATCH(B159,Products[SKU],0)))</x:f>
      </x:c>
    </x:row>
    <x:row r="160">
      <x:c r="A160" t="n">
        <x:v>12</x:v>
      </x:c>
      <x:c r="B160" t="str">
        <x:f>_xlfn.IFNA(INDEX(Products[SKU],MATCH(A160,Products[Ранг отмен],0)),"")</x:f>
      </x:c>
      <x:c r="C160" t="str">
        <x:f>IF(B160="","",INDEX(Products[Товар],MATCH(B160,Products[SKU],0)))</x:f>
      </x:c>
      <x:c r="D160" s="22" t="str">
        <x:f>IF(B160="","",INDEX(Products[Отмены шт.],MATCH(B160,Products[SKU],0)))</x:f>
      </x:c>
    </x:row>
    <x:row r="161">
      <x:c r="A161" t="n">
        <x:v>13</x:v>
      </x:c>
      <x:c r="B161" t="str">
        <x:f>_xlfn.IFNA(INDEX(Products[SKU],MATCH(A161,Products[Ранг отмен],0)),"")</x:f>
      </x:c>
      <x:c r="C161" t="str">
        <x:f>IF(B161="","",INDEX(Products[Товар],MATCH(B161,Products[SKU],0)))</x:f>
      </x:c>
      <x:c r="D161" s="22" t="str">
        <x:f>IF(B161="","",INDEX(Products[Отмены шт.],MATCH(B161,Products[SKU],0)))</x:f>
      </x:c>
    </x:row>
    <x:row r="162">
      <x:c r="A162" t="n">
        <x:v>14</x:v>
      </x:c>
      <x:c r="B162" t="str">
        <x:f>_xlfn.IFNA(INDEX(Products[SKU],MATCH(A162,Products[Ранг отмен],0)),"")</x:f>
      </x:c>
      <x:c r="C162" t="str">
        <x:f>IF(B162="","",INDEX(Products[Товар],MATCH(B162,Products[SKU],0)))</x:f>
      </x:c>
      <x:c r="D162" s="22" t="str">
        <x:f>IF(B162="","",INDEX(Products[Отмены шт.],MATCH(B162,Products[SKU],0)))</x:f>
      </x:c>
    </x:row>
    <x:row r="163">
      <x:c r="A163" t="n">
        <x:v>15</x:v>
      </x:c>
      <x:c r="B163" t="str">
        <x:f>_xlfn.IFNA(INDEX(Products[SKU],MATCH(A163,Products[Ранг отмен],0)),"")</x:f>
      </x:c>
      <x:c r="C163" t="str">
        <x:f>IF(B163="","",INDEX(Products[Товар],MATCH(B163,Products[SKU],0)))</x:f>
      </x:c>
      <x:c r="D163" s="22" t="str">
        <x:f>IF(B163="","",INDEX(Products[Отмены шт.],MATCH(B163,Products[SKU],0)))</x:f>
      </x:c>
    </x:row>
    <x:row r="164">
      <x:c r="A164" t="n">
        <x:v>16</x:v>
      </x:c>
      <x:c r="B164" t="str">
        <x:f>_xlfn.IFNA(INDEX(Products[SKU],MATCH(A164,Products[Ранг отмен],0)),"")</x:f>
      </x:c>
      <x:c r="C164" t="str">
        <x:f>IF(B164="","",INDEX(Products[Товар],MATCH(B164,Products[SKU],0)))</x:f>
      </x:c>
      <x:c r="D164" s="22" t="str">
        <x:f>IF(B164="","",INDEX(Products[Отмены шт.],MATCH(B164,Products[SKU],0)))</x:f>
      </x:c>
    </x:row>
    <x:row r="165">
      <x:c r="A165" t="n">
        <x:v>17</x:v>
      </x:c>
      <x:c r="B165" t="str">
        <x:f>_xlfn.IFNA(INDEX(Products[SKU],MATCH(A165,Products[Ранг отмен],0)),"")</x:f>
      </x:c>
      <x:c r="C165" t="str">
        <x:f>IF(B165="","",INDEX(Products[Товар],MATCH(B165,Products[SKU],0)))</x:f>
      </x:c>
      <x:c r="D165" s="22" t="str">
        <x:f>IF(B165="","",INDEX(Products[Отмены шт.],MATCH(B165,Products[SKU],0)))</x:f>
      </x:c>
    </x:row>
    <x:row r="166">
      <x:c r="A166" t="n">
        <x:v>18</x:v>
      </x:c>
      <x:c r="B166" t="str">
        <x:f>_xlfn.IFNA(INDEX(Products[SKU],MATCH(A166,Products[Ранг отмен],0)),"")</x:f>
      </x:c>
      <x:c r="C166" t="str">
        <x:f>IF(B166="","",INDEX(Products[Товар],MATCH(B166,Products[SKU],0)))</x:f>
      </x:c>
      <x:c r="D166" s="22" t="str">
        <x:f>IF(B166="","",INDEX(Products[Отмены шт.],MATCH(B166,Products[SKU],0)))</x:f>
      </x:c>
    </x:row>
    <x:row r="167">
      <x:c r="A167" t="n">
        <x:v>19</x:v>
      </x:c>
      <x:c r="B167" t="str">
        <x:f>_xlfn.IFNA(INDEX(Products[SKU],MATCH(A167,Products[Ранг отмен],0)),"")</x:f>
      </x:c>
      <x:c r="C167" t="str">
        <x:f>IF(B167="","",INDEX(Products[Товар],MATCH(B167,Products[SKU],0)))</x:f>
      </x:c>
      <x:c r="D167" s="22" t="str">
        <x:f>IF(B167="","",INDEX(Products[Отмены шт.],MATCH(B167,Products[SKU],0)))</x:f>
      </x:c>
    </x:row>
    <x:row r="168">
      <x:c r="A168" t="n">
        <x:v>20</x:v>
      </x:c>
      <x:c r="B168" t="str">
        <x:f>_xlfn.IFNA(INDEX(Products[SKU],MATCH(A168,Products[Ранг отмен],0)),"")</x:f>
      </x:c>
      <x:c r="C168" t="str">
        <x:f>IF(B168="","",INDEX(Products[Товар],MATCH(B168,Products[SKU],0)))</x:f>
      </x:c>
      <x:c r="D168" s="22" t="str">
        <x:f>IF(B168="","",INDEX(Products[Отмены шт.],MATCH(B168,Products[SKU],0)))</x:f>
      </x:c>
    </x:row>
  </x:sheetData>
  <x:sheetProtection sheet="1" objects="1" scenarios="1" autoFilter="0" sort="0" selectLockedCells="0" selectUnlockedCells="0"/>
  <x:mergeCells>
    <x:mergeCell ref="A1:L1"/>
    <x:mergeCell ref="A2:L2"/>
  </x:mergeCells>
  <x:pageMargins left="0.7" right="0.7" top="0.75" bottom="0.75" header="0.3" footer="0.3"/>
</x:worksheet>
</file>

<file path=xl/worksheets/sheet5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34" customHeight="1">
      <x:c r="A1" s="2" t="str">
        <x:v>AutoHome  /  ABC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56" customHeight="1">
      <x:c r="A4" s="9" t="str">
        <x:v>Место</x:v>
      </x:c>
      <x:c r="B4" s="9" t="str">
        <x:v>SKU</x:v>
      </x:c>
      <x:c r="C4" s="9" t="str">
        <x:v>Товар</x:v>
      </x:c>
      <x:c r="D4" s="9" t="str">
        <x:v>Выручка</x:v>
      </x:c>
      <x:c r="E4" s="9" t="str">
        <x:v>Доля</x:v>
      </x:c>
      <x:c r="F4" s="9" t="str">
        <x:v>Накопленная доля</x:v>
      </x:c>
      <x:c r="G4" s="9" t="str">
        <x:v>Класс</x:v>
      </x:c>
      <x:c r="H4" s="1"/>
      <x:c r="I4" s="1"/>
      <x:c r="J4" s="1"/>
      <x:c r="K4" s="1"/>
      <x:c r="L4" s="1"/>
    </x:row>
    <x:row r="5" ht="23" customHeight="1">
      <x:c r="A5" s="13" t="n">
        <x:f>ROW()-4</x:f>
        <x:v>1</x:v>
      </x:c>
      <x:c r="B5" s="13" t="str">
        <x:f>_xlfn.IFNA(INDEX(Products[SKU],MATCH(A5,Products[Ранг выручки],0)),"")</x:f>
      </x:c>
      <x:c r="C5" s="13" t="str">
        <x:f>IF(B5="","",INDEX(Products[Товар],MATCH(B5,Products[SKU],0)))</x:f>
      </x:c>
      <x:c r="D5" s="15" t="str">
        <x:f>IF(B5="","",INDEX(Products[Выручка],MATCH(B5,Products[SKU],0)))</x:f>
      </x:c>
      <x:c r="E5" s="18" t="str">
        <x:f>IF(OR(B5="",SUM(Products[Выручка])=0),"",D5/SUM(Products[Выручка]))</x:f>
      </x:c>
      <x:c r="F5" s="18" t="str">
        <x:f>IF(E5="","",SUM($E$5:E5))</x:f>
      </x:c>
      <x:c r="G5" s="13" t="str">
        <x:f>IF(E5="","",IF(F5-E5&lt;0.8,"A",IF(F5-E5&lt;0.95,"B","C")))</x:f>
      </x:c>
      <x:c r="H5" s="1"/>
      <x:c r="I5" s="1"/>
      <x:c r="J5" s="1"/>
      <x:c r="K5" s="1"/>
      <x:c r="L5" s="1"/>
    </x:row>
    <x:row r="6" ht="23" customHeight="1">
      <x:c r="A6" s="13" t="n">
        <x:f>ROW()-4</x:f>
        <x:v>2</x:v>
      </x:c>
      <x:c r="B6" s="13" t="str">
        <x:f>_xlfn.IFNA(INDEX(Products[SKU],MATCH(A6,Products[Ранг выручки],0)),"")</x:f>
      </x:c>
      <x:c r="C6" s="13" t="str">
        <x:f>IF(B6="","",INDEX(Products[Товар],MATCH(B6,Products[SKU],0)))</x:f>
      </x:c>
      <x:c r="D6" s="15" t="str">
        <x:f>IF(B6="","",INDEX(Products[Выручка],MATCH(B6,Products[SKU],0)))</x:f>
      </x:c>
      <x:c r="E6" s="18" t="str">
        <x:f>IF(OR(B6="",SUM(Products[Выручка])=0),"",D6/SUM(Products[Выручка]))</x:f>
      </x:c>
      <x:c r="F6" s="18" t="str">
        <x:f>IF(E6="","",SUM($E$5:E6))</x:f>
      </x:c>
      <x:c r="G6" s="13" t="str">
        <x:f>IF(E6="","",IF(F6-E6&lt;0.8,"A",IF(F6-E6&lt;0.95,"B","C")))</x:f>
      </x:c>
      <x:c r="H6" s="1"/>
      <x:c r="I6" s="1"/>
      <x:c r="J6" s="1"/>
      <x:c r="K6" s="1"/>
      <x:c r="L6" s="1"/>
    </x:row>
    <x:row r="7" ht="23" customHeight="1">
      <x:c r="A7" s="13" t="n">
        <x:f>ROW()-4</x:f>
        <x:v>3</x:v>
      </x:c>
      <x:c r="B7" s="13" t="str">
        <x:f>_xlfn.IFNA(INDEX(Products[SKU],MATCH(A7,Products[Ранг выручки],0)),"")</x:f>
      </x:c>
      <x:c r="C7" s="13" t="str">
        <x:f>IF(B7="","",INDEX(Products[Товар],MATCH(B7,Products[SKU],0)))</x:f>
      </x:c>
      <x:c r="D7" s="15" t="str">
        <x:f>IF(B7="","",INDEX(Products[Выручка],MATCH(B7,Products[SKU],0)))</x:f>
      </x:c>
      <x:c r="E7" s="18" t="str">
        <x:f>IF(OR(B7="",SUM(Products[Выручка])=0),"",D7/SUM(Products[Выручка]))</x:f>
      </x:c>
      <x:c r="F7" s="18" t="str">
        <x:f>IF(E7="","",SUM($E$5:E7))</x:f>
      </x:c>
      <x:c r="G7" s="13" t="str">
        <x:f>IF(E7="","",IF(F7-E7&lt;0.8,"A",IF(F7-E7&lt;0.95,"B","C")))</x:f>
      </x:c>
      <x:c r="H7" s="1"/>
      <x:c r="I7" s="1"/>
      <x:c r="J7" s="1"/>
      <x:c r="K7" s="1"/>
      <x:c r="L7" s="1"/>
    </x:row>
    <x:row r="8" ht="23" customHeight="1">
      <x:c r="A8" s="13" t="n">
        <x:f>ROW()-4</x:f>
        <x:v>4</x:v>
      </x:c>
      <x:c r="B8" s="13" t="str">
        <x:f>_xlfn.IFNA(INDEX(Products[SKU],MATCH(A8,Products[Ранг выручки],0)),"")</x:f>
      </x:c>
      <x:c r="C8" s="13" t="str">
        <x:f>IF(B8="","",INDEX(Products[Товар],MATCH(B8,Products[SKU],0)))</x:f>
      </x:c>
      <x:c r="D8" s="15" t="str">
        <x:f>IF(B8="","",INDEX(Products[Выручка],MATCH(B8,Products[SKU],0)))</x:f>
      </x:c>
      <x:c r="E8" s="18" t="str">
        <x:f>IF(OR(B8="",SUM(Products[Выручка])=0),"",D8/SUM(Products[Выручка]))</x:f>
      </x:c>
      <x:c r="F8" s="18" t="str">
        <x:f>IF(E8="","",SUM($E$5:E8))</x:f>
      </x:c>
      <x:c r="G8" s="13" t="str">
        <x:f>IF(E8="","",IF(F8-E8&lt;0.8,"A",IF(F8-E8&lt;0.95,"B","C")))</x:f>
      </x:c>
      <x:c r="H8" s="1"/>
      <x:c r="I8" s="1"/>
      <x:c r="J8" s="1"/>
      <x:c r="K8" s="1"/>
      <x:c r="L8" s="1"/>
    </x:row>
    <x:row r="9" ht="23" customHeight="1">
      <x:c r="A9" s="13" t="n">
        <x:f>ROW()-4</x:f>
        <x:v>5</x:v>
      </x:c>
      <x:c r="B9" s="13" t="str">
        <x:f>_xlfn.IFNA(INDEX(Products[SKU],MATCH(A9,Products[Ранг выручки],0)),"")</x:f>
      </x:c>
      <x:c r="C9" s="13" t="str">
        <x:f>IF(B9="","",INDEX(Products[Товар],MATCH(B9,Products[SKU],0)))</x:f>
      </x:c>
      <x:c r="D9" s="15" t="str">
        <x:f>IF(B9="","",INDEX(Products[Выручка],MATCH(B9,Products[SKU],0)))</x:f>
      </x:c>
      <x:c r="E9" s="18" t="str">
        <x:f>IF(OR(B9="",SUM(Products[Выручка])=0),"",D9/SUM(Products[Выручка]))</x:f>
      </x:c>
      <x:c r="F9" s="18" t="str">
        <x:f>IF(E9="","",SUM($E$5:E9))</x:f>
      </x:c>
      <x:c r="G9" s="13" t="str">
        <x:f>IF(E9="","",IF(F9-E9&lt;0.8,"A",IF(F9-E9&lt;0.95,"B","C")))</x:f>
      </x:c>
      <x:c r="H9" s="1"/>
      <x:c r="I9" s="1"/>
      <x:c r="J9" s="1"/>
      <x:c r="K9" s="1"/>
      <x:c r="L9" s="1"/>
    </x:row>
    <x:row r="10" ht="23" customHeight="1">
      <x:c r="A10" s="13" t="n">
        <x:f>ROW()-4</x:f>
        <x:v>6</x:v>
      </x:c>
      <x:c r="B10" s="13" t="str">
        <x:f>_xlfn.IFNA(INDEX(Products[SKU],MATCH(A10,Products[Ранг выручки],0)),"")</x:f>
      </x:c>
      <x:c r="C10" s="13" t="str">
        <x:f>IF(B10="","",INDEX(Products[Товар],MATCH(B10,Products[SKU],0)))</x:f>
      </x:c>
      <x:c r="D10" s="15" t="str">
        <x:f>IF(B10="","",INDEX(Products[Выручка],MATCH(B10,Products[SKU],0)))</x:f>
      </x:c>
      <x:c r="E10" s="18" t="str">
        <x:f>IF(OR(B10="",SUM(Products[Выручка])=0),"",D10/SUM(Products[Выручка]))</x:f>
      </x:c>
      <x:c r="F10" s="18" t="str">
        <x:f>IF(E10="","",SUM($E$5:E10))</x:f>
      </x:c>
      <x:c r="G10" s="13" t="str">
        <x:f>IF(E10="","",IF(F10-E10&lt;0.8,"A",IF(F10-E10&lt;0.95,"B","C")))</x:f>
      </x:c>
      <x:c r="H10" s="1"/>
      <x:c r="I10" s="1"/>
      <x:c r="J10" s="1"/>
      <x:c r="K10" s="1"/>
      <x:c r="L10" s="1"/>
    </x:row>
    <x:row r="11" ht="23" customHeight="1">
      <x:c r="A11" s="13" t="n">
        <x:f>ROW()-4</x:f>
        <x:v>7</x:v>
      </x:c>
      <x:c r="B11" s="13" t="str">
        <x:f>_xlfn.IFNA(INDEX(Products[SKU],MATCH(A11,Products[Ранг выручки],0)),"")</x:f>
      </x:c>
      <x:c r="C11" s="13" t="str">
        <x:f>IF(B11="","",INDEX(Products[Товар],MATCH(B11,Products[SKU],0)))</x:f>
      </x:c>
      <x:c r="D11" s="15" t="str">
        <x:f>IF(B11="","",INDEX(Products[Выручка],MATCH(B11,Products[SKU],0)))</x:f>
      </x:c>
      <x:c r="E11" s="18" t="str">
        <x:f>IF(OR(B11="",SUM(Products[Выручка])=0),"",D11/SUM(Products[Выручка]))</x:f>
      </x:c>
      <x:c r="F11" s="18" t="str">
        <x:f>IF(E11="","",SUM($E$5:E11))</x:f>
      </x:c>
      <x:c r="G11" s="13" t="str">
        <x:f>IF(E11="","",IF(F11-E11&lt;0.8,"A",IF(F11-E11&lt;0.95,"B","C")))</x:f>
      </x:c>
      <x:c r="H11" s="1"/>
      <x:c r="I11" s="1"/>
      <x:c r="J11" s="1"/>
      <x:c r="K11" s="1"/>
      <x:c r="L11" s="1"/>
    </x:row>
    <x:row r="12" ht="23" customHeight="1">
      <x:c r="A12" s="13" t="n">
        <x:f>ROW()-4</x:f>
        <x:v>8</x:v>
      </x:c>
      <x:c r="B12" s="13" t="str">
        <x:f>_xlfn.IFNA(INDEX(Products[SKU],MATCH(A12,Products[Ранг выручки],0)),"")</x:f>
      </x:c>
      <x:c r="C12" s="13" t="str">
        <x:f>IF(B12="","",INDEX(Products[Товар],MATCH(B12,Products[SKU],0)))</x:f>
      </x:c>
      <x:c r="D12" s="15" t="str">
        <x:f>IF(B12="","",INDEX(Products[Выручка],MATCH(B12,Products[SKU],0)))</x:f>
      </x:c>
      <x:c r="E12" s="18" t="str">
        <x:f>IF(OR(B12="",SUM(Products[Выручка])=0),"",D12/SUM(Products[Выручка]))</x:f>
      </x:c>
      <x:c r="F12" s="18" t="str">
        <x:f>IF(E12="","",SUM($E$5:E12))</x:f>
      </x:c>
      <x:c r="G12" s="13" t="str">
        <x:f>IF(E12="","",IF(F12-E12&lt;0.8,"A",IF(F12-E12&lt;0.95,"B","C")))</x:f>
      </x:c>
      <x:c r="H12" s="1"/>
      <x:c r="I12" s="1"/>
      <x:c r="J12" s="1"/>
      <x:c r="K12" s="1"/>
      <x:c r="L12" s="1"/>
    </x:row>
    <x:row r="13" ht="23" customHeight="1">
      <x:c r="A13" s="13" t="n">
        <x:f>ROW()-4</x:f>
        <x:v>9</x:v>
      </x:c>
      <x:c r="B13" s="13" t="str">
        <x:f>_xlfn.IFNA(INDEX(Products[SKU],MATCH(A13,Products[Ранг выручки],0)),"")</x:f>
      </x:c>
      <x:c r="C13" s="13" t="str">
        <x:f>IF(B13="","",INDEX(Products[Товар],MATCH(B13,Products[SKU],0)))</x:f>
      </x:c>
      <x:c r="D13" s="15" t="str">
        <x:f>IF(B13="","",INDEX(Products[Выручка],MATCH(B13,Products[SKU],0)))</x:f>
      </x:c>
      <x:c r="E13" s="18" t="str">
        <x:f>IF(OR(B13="",SUM(Products[Выручка])=0),"",D13/SUM(Products[Выручка]))</x:f>
      </x:c>
      <x:c r="F13" s="18" t="str">
        <x:f>IF(E13="","",SUM($E$5:E13))</x:f>
      </x:c>
      <x:c r="G13" s="13" t="str">
        <x:f>IF(E13="","",IF(F13-E13&lt;0.8,"A",IF(F13-E13&lt;0.95,"B","C")))</x:f>
      </x:c>
      <x:c r="H13" s="1"/>
      <x:c r="I13" s="1"/>
      <x:c r="J13" s="1"/>
      <x:c r="K13" s="1"/>
      <x:c r="L13" s="1"/>
    </x:row>
    <x:row r="14" ht="23" customHeight="1">
      <x:c r="A14" s="13" t="n">
        <x:f>ROW()-4</x:f>
        <x:v>10</x:v>
      </x:c>
      <x:c r="B14" s="13" t="str">
        <x:f>_xlfn.IFNA(INDEX(Products[SKU],MATCH(A14,Products[Ранг выручки],0)),"")</x:f>
      </x:c>
      <x:c r="C14" s="13" t="str">
        <x:f>IF(B14="","",INDEX(Products[Товар],MATCH(B14,Products[SKU],0)))</x:f>
      </x:c>
      <x:c r="D14" s="15" t="str">
        <x:f>IF(B14="","",INDEX(Products[Выручка],MATCH(B14,Products[SKU],0)))</x:f>
      </x:c>
      <x:c r="E14" s="18" t="str">
        <x:f>IF(OR(B14="",SUM(Products[Выручка])=0),"",D14/SUM(Products[Выручка]))</x:f>
      </x:c>
      <x:c r="F14" s="18" t="str">
        <x:f>IF(E14="","",SUM($E$5:E14))</x:f>
      </x:c>
      <x:c r="G14" s="13" t="str">
        <x:f>IF(E14="","",IF(F14-E14&lt;0.8,"A",IF(F14-E14&lt;0.95,"B","C")))</x:f>
      </x:c>
      <x:c r="H14" s="1"/>
      <x:c r="I14" s="1"/>
      <x:c r="J14" s="1"/>
      <x:c r="K14" s="1"/>
      <x:c r="L14" s="1"/>
    </x:row>
    <x:row r="15" ht="23" customHeight="1">
      <x:c r="A15" s="13" t="n">
        <x:f>ROW()-4</x:f>
        <x:v>11</x:v>
      </x:c>
      <x:c r="B15" s="13" t="str">
        <x:f>_xlfn.IFNA(INDEX(Products[SKU],MATCH(A15,Products[Ранг выручки],0)),"")</x:f>
      </x:c>
      <x:c r="C15" s="13" t="str">
        <x:f>IF(B15="","",INDEX(Products[Товар],MATCH(B15,Products[SKU],0)))</x:f>
      </x:c>
      <x:c r="D15" s="15" t="str">
        <x:f>IF(B15="","",INDEX(Products[Выручка],MATCH(B15,Products[SKU],0)))</x:f>
      </x:c>
      <x:c r="E15" s="18" t="str">
        <x:f>IF(OR(B15="",SUM(Products[Выручка])=0),"",D15/SUM(Products[Выручка]))</x:f>
      </x:c>
      <x:c r="F15" s="18" t="str">
        <x:f>IF(E15="","",SUM($E$5:E15))</x:f>
      </x:c>
      <x:c r="G15" s="13" t="str">
        <x:f>IF(E15="","",IF(F15-E15&lt;0.8,"A",IF(F15-E15&lt;0.95,"B","C")))</x:f>
      </x:c>
      <x:c r="H15" s="1"/>
      <x:c r="I15" s="1"/>
      <x:c r="J15" s="1"/>
      <x:c r="K15" s="1"/>
      <x:c r="L15" s="1"/>
    </x:row>
    <x:row r="16" ht="23" customHeight="1">
      <x:c r="A16" s="13" t="n">
        <x:f>ROW()-4</x:f>
        <x:v>12</x:v>
      </x:c>
      <x:c r="B16" s="13" t="str">
        <x:f>_xlfn.IFNA(INDEX(Products[SKU],MATCH(A16,Products[Ранг выручки],0)),"")</x:f>
      </x:c>
      <x:c r="C16" s="13" t="str">
        <x:f>IF(B16="","",INDEX(Products[Товар],MATCH(B16,Products[SKU],0)))</x:f>
      </x:c>
      <x:c r="D16" s="15" t="str">
        <x:f>IF(B16="","",INDEX(Products[Выручка],MATCH(B16,Products[SKU],0)))</x:f>
      </x:c>
      <x:c r="E16" s="18" t="str">
        <x:f>IF(OR(B16="",SUM(Products[Выручка])=0),"",D16/SUM(Products[Выручка]))</x:f>
      </x:c>
      <x:c r="F16" s="18" t="str">
        <x:f>IF(E16="","",SUM($E$5:E16))</x:f>
      </x:c>
      <x:c r="G16" s="13" t="str">
        <x:f>IF(E16="","",IF(F16-E16&lt;0.8,"A",IF(F16-E16&lt;0.95,"B","C")))</x:f>
      </x:c>
      <x:c r="H16" s="1"/>
      <x:c r="I16" s="1"/>
      <x:c r="J16" s="1"/>
      <x:c r="K16" s="1"/>
      <x:c r="L16" s="1"/>
    </x:row>
    <x:row r="17" ht="23" customHeight="1">
      <x:c r="A17" s="13" t="n">
        <x:f>ROW()-4</x:f>
        <x:v>13</x:v>
      </x:c>
      <x:c r="B17" s="13" t="str">
        <x:f>_xlfn.IFNA(INDEX(Products[SKU],MATCH(A17,Products[Ранг выручки],0)),"")</x:f>
      </x:c>
      <x:c r="C17" s="13" t="str">
        <x:f>IF(B17="","",INDEX(Products[Товар],MATCH(B17,Products[SKU],0)))</x:f>
      </x:c>
      <x:c r="D17" s="15" t="str">
        <x:f>IF(B17="","",INDEX(Products[Выручка],MATCH(B17,Products[SKU],0)))</x:f>
      </x:c>
      <x:c r="E17" s="18" t="str">
        <x:f>IF(OR(B17="",SUM(Products[Выручка])=0),"",D17/SUM(Products[Выручка]))</x:f>
      </x:c>
      <x:c r="F17" s="18" t="str">
        <x:f>IF(E17="","",SUM($E$5:E17))</x:f>
      </x:c>
      <x:c r="G17" s="13" t="str">
        <x:f>IF(E17="","",IF(F17-E17&lt;0.8,"A",IF(F17-E17&lt;0.95,"B","C")))</x:f>
      </x:c>
      <x:c r="H17" s="1"/>
      <x:c r="I17" s="1"/>
      <x:c r="J17" s="1"/>
      <x:c r="K17" s="1"/>
      <x:c r="L17" s="1"/>
    </x:row>
    <x:row r="18" ht="23" customHeight="1">
      <x:c r="A18" s="13" t="n">
        <x:f>ROW()-4</x:f>
        <x:v>14</x:v>
      </x:c>
      <x:c r="B18" s="13" t="str">
        <x:f>_xlfn.IFNA(INDEX(Products[SKU],MATCH(A18,Products[Ранг выручки],0)),"")</x:f>
      </x:c>
      <x:c r="C18" s="13" t="str">
        <x:f>IF(B18="","",INDEX(Products[Товар],MATCH(B18,Products[SKU],0)))</x:f>
      </x:c>
      <x:c r="D18" s="15" t="str">
        <x:f>IF(B18="","",INDEX(Products[Выручка],MATCH(B18,Products[SKU],0)))</x:f>
      </x:c>
      <x:c r="E18" s="18" t="str">
        <x:f>IF(OR(B18="",SUM(Products[Выручка])=0),"",D18/SUM(Products[Выручка]))</x:f>
      </x:c>
      <x:c r="F18" s="18" t="str">
        <x:f>IF(E18="","",SUM($E$5:E18))</x:f>
      </x:c>
      <x:c r="G18" s="13" t="str">
        <x:f>IF(E18="","",IF(F18-E18&lt;0.8,"A",IF(F18-E18&lt;0.95,"B","C")))</x:f>
      </x:c>
      <x:c r="H18" s="1"/>
      <x:c r="I18" s="1"/>
      <x:c r="J18" s="1"/>
      <x:c r="K18" s="1"/>
      <x:c r="L18" s="1"/>
    </x:row>
    <x:row r="19" ht="23" customHeight="1">
      <x:c r="A19" s="13" t="n">
        <x:f>ROW()-4</x:f>
        <x:v>15</x:v>
      </x:c>
      <x:c r="B19" s="13" t="str">
        <x:f>_xlfn.IFNA(INDEX(Products[SKU],MATCH(A19,Products[Ранг выручки],0)),"")</x:f>
      </x:c>
      <x:c r="C19" s="13" t="str">
        <x:f>IF(B19="","",INDEX(Products[Товар],MATCH(B19,Products[SKU],0)))</x:f>
      </x:c>
      <x:c r="D19" s="15" t="str">
        <x:f>IF(B19="","",INDEX(Products[Выручка],MATCH(B19,Products[SKU],0)))</x:f>
      </x:c>
      <x:c r="E19" s="18" t="str">
        <x:f>IF(OR(B19="",SUM(Products[Выручка])=0),"",D19/SUM(Products[Выручка]))</x:f>
      </x:c>
      <x:c r="F19" s="18" t="str">
        <x:f>IF(E19="","",SUM($E$5:E19))</x:f>
      </x:c>
      <x:c r="G19" s="13" t="str">
        <x:f>IF(E19="","",IF(F19-E19&lt;0.8,"A",IF(F19-E19&lt;0.95,"B","C")))</x:f>
      </x:c>
      <x:c r="H19" s="1"/>
      <x:c r="I19" s="1"/>
      <x:c r="J19" s="1"/>
      <x:c r="K19" s="1"/>
      <x:c r="L19" s="1"/>
    </x:row>
    <x:row r="20" ht="23" customHeight="1">
      <x:c r="A20" s="13" t="n">
        <x:f>ROW()-4</x:f>
        <x:v>16</x:v>
      </x:c>
      <x:c r="B20" s="13" t="str">
        <x:f>_xlfn.IFNA(INDEX(Products[SKU],MATCH(A20,Products[Ранг выручки],0)),"")</x:f>
      </x:c>
      <x:c r="C20" s="13" t="str">
        <x:f>IF(B20="","",INDEX(Products[Товар],MATCH(B20,Products[SKU],0)))</x:f>
      </x:c>
      <x:c r="D20" s="15" t="str">
        <x:f>IF(B20="","",INDEX(Products[Выручка],MATCH(B20,Products[SKU],0)))</x:f>
      </x:c>
      <x:c r="E20" s="18" t="str">
        <x:f>IF(OR(B20="",SUM(Products[Выручка])=0),"",D20/SUM(Products[Выручка]))</x:f>
      </x:c>
      <x:c r="F20" s="18" t="str">
        <x:f>IF(E20="","",SUM($E$5:E20))</x:f>
      </x:c>
      <x:c r="G20" s="13" t="str">
        <x:f>IF(E20="","",IF(F20-E20&lt;0.8,"A",IF(F20-E20&lt;0.95,"B","C")))</x:f>
      </x:c>
      <x:c r="H20" s="1"/>
      <x:c r="I20" s="1"/>
      <x:c r="J20" s="1"/>
      <x:c r="K20" s="1"/>
      <x:c r="L20" s="1"/>
    </x:row>
    <x:row r="21" ht="23" customHeight="1">
      <x:c r="A21" s="13" t="n">
        <x:f>ROW()-4</x:f>
        <x:v>17</x:v>
      </x:c>
      <x:c r="B21" s="13" t="str">
        <x:f>_xlfn.IFNA(INDEX(Products[SKU],MATCH(A21,Products[Ранг выручки],0)),"")</x:f>
      </x:c>
      <x:c r="C21" s="13" t="str">
        <x:f>IF(B21="","",INDEX(Products[Товар],MATCH(B21,Products[SKU],0)))</x:f>
      </x:c>
      <x:c r="D21" s="15" t="str">
        <x:f>IF(B21="","",INDEX(Products[Выручка],MATCH(B21,Products[SKU],0)))</x:f>
      </x:c>
      <x:c r="E21" s="18" t="str">
        <x:f>IF(OR(B21="",SUM(Products[Выручка])=0),"",D21/SUM(Products[Выручка]))</x:f>
      </x:c>
      <x:c r="F21" s="18" t="str">
        <x:f>IF(E21="","",SUM($E$5:E21))</x:f>
      </x:c>
      <x:c r="G21" s="13" t="str">
        <x:f>IF(E21="","",IF(F21-E21&lt;0.8,"A",IF(F21-E21&lt;0.95,"B","C")))</x:f>
      </x:c>
      <x:c r="H21" s="1"/>
      <x:c r="I21" s="1"/>
      <x:c r="J21" s="1"/>
      <x:c r="K21" s="1"/>
      <x:c r="L21" s="1"/>
    </x:row>
    <x:row r="22" ht="23" customHeight="1">
      <x:c r="A22" s="13" t="n">
        <x:f>ROW()-4</x:f>
        <x:v>18</x:v>
      </x:c>
      <x:c r="B22" s="13" t="str">
        <x:f>_xlfn.IFNA(INDEX(Products[SKU],MATCH(A22,Products[Ранг выручки],0)),"")</x:f>
      </x:c>
      <x:c r="C22" s="13" t="str">
        <x:f>IF(B22="","",INDEX(Products[Товар],MATCH(B22,Products[SKU],0)))</x:f>
      </x:c>
      <x:c r="D22" s="15" t="str">
        <x:f>IF(B22="","",INDEX(Products[Выручка],MATCH(B22,Products[SKU],0)))</x:f>
      </x:c>
      <x:c r="E22" s="18" t="str">
        <x:f>IF(OR(B22="",SUM(Products[Выручка])=0),"",D22/SUM(Products[Выручка]))</x:f>
      </x:c>
      <x:c r="F22" s="18" t="str">
        <x:f>IF(E22="","",SUM($E$5:E22))</x:f>
      </x:c>
      <x:c r="G22" s="13" t="str">
        <x:f>IF(E22="","",IF(F22-E22&lt;0.8,"A",IF(F22-E22&lt;0.95,"B","C")))</x:f>
      </x:c>
      <x:c r="H22" s="1"/>
      <x:c r="I22" s="1"/>
      <x:c r="J22" s="1"/>
      <x:c r="K22" s="1"/>
      <x:c r="L22" s="1"/>
    </x:row>
    <x:row r="23" ht="23" customHeight="1">
      <x:c r="A23" s="13" t="n">
        <x:f>ROW()-4</x:f>
        <x:v>19</x:v>
      </x:c>
      <x:c r="B23" s="13" t="str">
        <x:f>_xlfn.IFNA(INDEX(Products[SKU],MATCH(A23,Products[Ранг выручки],0)),"")</x:f>
      </x:c>
      <x:c r="C23" s="13" t="str">
        <x:f>IF(B23="","",INDEX(Products[Товар],MATCH(B23,Products[SKU],0)))</x:f>
      </x:c>
      <x:c r="D23" s="15" t="str">
        <x:f>IF(B23="","",INDEX(Products[Выручка],MATCH(B23,Products[SKU],0)))</x:f>
      </x:c>
      <x:c r="E23" s="18" t="str">
        <x:f>IF(OR(B23="",SUM(Products[Выручка])=0),"",D23/SUM(Products[Выручка]))</x:f>
      </x:c>
      <x:c r="F23" s="18" t="str">
        <x:f>IF(E23="","",SUM($E$5:E23))</x:f>
      </x:c>
      <x:c r="G23" s="13" t="str">
        <x:f>IF(E23="","",IF(F23-E23&lt;0.8,"A",IF(F23-E23&lt;0.95,"B","C")))</x:f>
      </x:c>
      <x:c r="H23" s="1"/>
      <x:c r="I23" s="1"/>
      <x:c r="J23" s="1"/>
      <x:c r="K23" s="1"/>
      <x:c r="L23" s="1"/>
    </x:row>
    <x:row r="24" ht="23" customHeight="1">
      <x:c r="A24" s="13" t="n">
        <x:f>ROW()-4</x:f>
        <x:v>20</x:v>
      </x:c>
      <x:c r="B24" s="13" t="str">
        <x:f>_xlfn.IFNA(INDEX(Products[SKU],MATCH(A24,Products[Ранг выручки],0)),"")</x:f>
      </x:c>
      <x:c r="C24" s="13" t="str">
        <x:f>IF(B24="","",INDEX(Products[Товар],MATCH(B24,Products[SKU],0)))</x:f>
      </x:c>
      <x:c r="D24" s="15" t="str">
        <x:f>IF(B24="","",INDEX(Products[Выручка],MATCH(B24,Products[SKU],0)))</x:f>
      </x:c>
      <x:c r="E24" s="18" t="str">
        <x:f>IF(OR(B24="",SUM(Products[Выручка])=0),"",D24/SUM(Products[Выручка]))</x:f>
      </x:c>
      <x:c r="F24" s="18" t="str">
        <x:f>IF(E24="","",SUM($E$5:E24))</x:f>
      </x:c>
      <x:c r="G24" s="13" t="str">
        <x:f>IF(E24="","",IF(F24-E24&lt;0.8,"A",IF(F24-E24&lt;0.95,"B","C")))</x:f>
      </x:c>
      <x:c r="H24" s="1"/>
      <x:c r="I24" s="1"/>
      <x:c r="J24" s="1"/>
      <x:c r="K24" s="1"/>
      <x:c r="L24" s="1"/>
    </x:row>
    <x:row r="25" ht="23" customHeight="1">
      <x:c r="A25" s="13" t="n">
        <x:f>ROW()-4</x:f>
        <x:v>21</x:v>
      </x:c>
      <x:c r="B25" s="13" t="str">
        <x:f>_xlfn.IFNA(INDEX(Products[SKU],MATCH(A25,Products[Ранг выручки],0)),"")</x:f>
      </x:c>
      <x:c r="C25" s="13" t="str">
        <x:f>IF(B25="","",INDEX(Products[Товар],MATCH(B25,Products[SKU],0)))</x:f>
      </x:c>
      <x:c r="D25" s="15" t="str">
        <x:f>IF(B25="","",INDEX(Products[Выручка],MATCH(B25,Products[SKU],0)))</x:f>
      </x:c>
      <x:c r="E25" s="18" t="str">
        <x:f>IF(OR(B25="",SUM(Products[Выручка])=0),"",D25/SUM(Products[Выручка]))</x:f>
      </x:c>
      <x:c r="F25" s="18" t="str">
        <x:f>IF(E25="","",SUM($E$5:E25))</x:f>
      </x:c>
      <x:c r="G25" s="13" t="str">
        <x:f>IF(E25="","",IF(F25-E25&lt;0.8,"A",IF(F25-E25&lt;0.95,"B","C")))</x:f>
      </x:c>
      <x:c r="H25" s="1"/>
      <x:c r="I25" s="1"/>
      <x:c r="J25" s="1"/>
      <x:c r="K25" s="1"/>
      <x:c r="L25" s="1"/>
    </x:row>
    <x:row r="26" ht="23" customHeight="1">
      <x:c r="A26" s="13" t="n">
        <x:f>ROW()-4</x:f>
        <x:v>22</x:v>
      </x:c>
      <x:c r="B26" s="13" t="str">
        <x:f>_xlfn.IFNA(INDEX(Products[SKU],MATCH(A26,Products[Ранг выручки],0)),"")</x:f>
      </x:c>
      <x:c r="C26" s="13" t="str">
        <x:f>IF(B26="","",INDEX(Products[Товар],MATCH(B26,Products[SKU],0)))</x:f>
      </x:c>
      <x:c r="D26" s="15" t="str">
        <x:f>IF(B26="","",INDEX(Products[Выручка],MATCH(B26,Products[SKU],0)))</x:f>
      </x:c>
      <x:c r="E26" s="18" t="str">
        <x:f>IF(OR(B26="",SUM(Products[Выручка])=0),"",D26/SUM(Products[Выручка]))</x:f>
      </x:c>
      <x:c r="F26" s="18" t="str">
        <x:f>IF(E26="","",SUM($E$5:E26))</x:f>
      </x:c>
      <x:c r="G26" s="13" t="str">
        <x:f>IF(E26="","",IF(F26-E26&lt;0.8,"A",IF(F26-E26&lt;0.95,"B","C")))</x:f>
      </x:c>
      <x:c r="H26" s="1"/>
      <x:c r="I26" s="1"/>
      <x:c r="J26" s="1"/>
      <x:c r="K26" s="1"/>
      <x:c r="L26" s="1"/>
    </x:row>
    <x:row r="27" ht="23" customHeight="1">
      <x:c r="A27" s="13" t="n">
        <x:f>ROW()-4</x:f>
        <x:v>23</x:v>
      </x:c>
      <x:c r="B27" s="13" t="str">
        <x:f>_xlfn.IFNA(INDEX(Products[SKU],MATCH(A27,Products[Ранг выручки],0)),"")</x:f>
      </x:c>
      <x:c r="C27" s="13" t="str">
        <x:f>IF(B27="","",INDEX(Products[Товар],MATCH(B27,Products[SKU],0)))</x:f>
      </x:c>
      <x:c r="D27" s="15" t="str">
        <x:f>IF(B27="","",INDEX(Products[Выручка],MATCH(B27,Products[SKU],0)))</x:f>
      </x:c>
      <x:c r="E27" s="18" t="str">
        <x:f>IF(OR(B27="",SUM(Products[Выручка])=0),"",D27/SUM(Products[Выручка]))</x:f>
      </x:c>
      <x:c r="F27" s="18" t="str">
        <x:f>IF(E27="","",SUM($E$5:E27))</x:f>
      </x:c>
      <x:c r="G27" s="13" t="str">
        <x:f>IF(E27="","",IF(F27-E27&lt;0.8,"A",IF(F27-E27&lt;0.95,"B","C")))</x:f>
      </x:c>
      <x:c r="H27" s="1"/>
      <x:c r="I27" s="1"/>
      <x:c r="J27" s="1"/>
      <x:c r="K27" s="1"/>
      <x:c r="L27" s="1"/>
    </x:row>
    <x:row r="28" ht="23" customHeight="1">
      <x:c r="A28" s="13" t="n">
        <x:f>ROW()-4</x:f>
        <x:v>24</x:v>
      </x:c>
      <x:c r="B28" s="13" t="str">
        <x:f>_xlfn.IFNA(INDEX(Products[SKU],MATCH(A28,Products[Ранг выручки],0)),"")</x:f>
      </x:c>
      <x:c r="C28" s="13" t="str">
        <x:f>IF(B28="","",INDEX(Products[Товар],MATCH(B28,Products[SKU],0)))</x:f>
      </x:c>
      <x:c r="D28" s="15" t="str">
        <x:f>IF(B28="","",INDEX(Products[Выручка],MATCH(B28,Products[SKU],0)))</x:f>
      </x:c>
      <x:c r="E28" s="18" t="str">
        <x:f>IF(OR(B28="",SUM(Products[Выручка])=0),"",D28/SUM(Products[Выручка]))</x:f>
      </x:c>
      <x:c r="F28" s="18" t="str">
        <x:f>IF(E28="","",SUM($E$5:E28))</x:f>
      </x:c>
      <x:c r="G28" s="13" t="str">
        <x:f>IF(E28="","",IF(F28-E28&lt;0.8,"A",IF(F28-E28&lt;0.95,"B","C")))</x:f>
      </x:c>
      <x:c r="H28" s="1"/>
      <x:c r="I28" s="1"/>
      <x:c r="J28" s="1"/>
      <x:c r="K28" s="1"/>
      <x:c r="L28" s="1"/>
    </x:row>
    <x:row r="29" ht="23" customHeight="1">
      <x:c r="A29" s="13" t="n">
        <x:f>ROW()-4</x:f>
        <x:v>25</x:v>
      </x:c>
      <x:c r="B29" s="13" t="str">
        <x:f>_xlfn.IFNA(INDEX(Products[SKU],MATCH(A29,Products[Ранг выручки],0)),"")</x:f>
      </x:c>
      <x:c r="C29" s="13" t="str">
        <x:f>IF(B29="","",INDEX(Products[Товар],MATCH(B29,Products[SKU],0)))</x:f>
      </x:c>
      <x:c r="D29" s="15" t="str">
        <x:f>IF(B29="","",INDEX(Products[Выручка],MATCH(B29,Products[SKU],0)))</x:f>
      </x:c>
      <x:c r="E29" s="18" t="str">
        <x:f>IF(OR(B29="",SUM(Products[Выручка])=0),"",D29/SUM(Products[Выручка]))</x:f>
      </x:c>
      <x:c r="F29" s="18" t="str">
        <x:f>IF(E29="","",SUM($E$5:E29))</x:f>
      </x:c>
      <x:c r="G29" s="13" t="str">
        <x:f>IF(E29="","",IF(F29-E29&lt;0.8,"A",IF(F29-E29&lt;0.95,"B","C")))</x:f>
      </x:c>
      <x:c r="H29" s="1"/>
      <x:c r="I29" s="1"/>
      <x:c r="J29" s="1"/>
      <x:c r="K29" s="1"/>
      <x:c r="L29" s="1"/>
    </x:row>
    <x:row r="30" ht="23" customHeight="1">
      <x:c r="A30" s="13" t="n">
        <x:f>ROW()-4</x:f>
        <x:v>26</x:v>
      </x:c>
      <x:c r="B30" s="13" t="str">
        <x:f>_xlfn.IFNA(INDEX(Products[SKU],MATCH(A30,Products[Ранг выручки],0)),"")</x:f>
      </x:c>
      <x:c r="C30" s="13" t="str">
        <x:f>IF(B30="","",INDEX(Products[Товар],MATCH(B30,Products[SKU],0)))</x:f>
      </x:c>
      <x:c r="D30" s="15" t="str">
        <x:f>IF(B30="","",INDEX(Products[Выручка],MATCH(B30,Products[SKU],0)))</x:f>
      </x:c>
      <x:c r="E30" s="18" t="str">
        <x:f>IF(OR(B30="",SUM(Products[Выручка])=0),"",D30/SUM(Products[Выручка]))</x:f>
      </x:c>
      <x:c r="F30" s="18" t="str">
        <x:f>IF(E30="","",SUM($E$5:E30))</x:f>
      </x:c>
      <x:c r="G30" s="13" t="str">
        <x:f>IF(E30="","",IF(F30-E30&lt;0.8,"A",IF(F30-E30&lt;0.95,"B","C")))</x:f>
      </x:c>
      <x:c r="H30" s="1"/>
      <x:c r="I30" s="1"/>
      <x:c r="J30" s="1"/>
      <x:c r="K30" s="1"/>
      <x:c r="L30" s="1"/>
    </x:row>
    <x:row r="31" ht="23" customHeight="1">
      <x:c r="A31" s="13" t="n">
        <x:f>ROW()-4</x:f>
        <x:v>27</x:v>
      </x:c>
      <x:c r="B31" s="13" t="str">
        <x:f>_xlfn.IFNA(INDEX(Products[SKU],MATCH(A31,Products[Ранг выручки],0)),"")</x:f>
      </x:c>
      <x:c r="C31" s="13" t="str">
        <x:f>IF(B31="","",INDEX(Products[Товар],MATCH(B31,Products[SKU],0)))</x:f>
      </x:c>
      <x:c r="D31" s="15" t="str">
        <x:f>IF(B31="","",INDEX(Products[Выручка],MATCH(B31,Products[SKU],0)))</x:f>
      </x:c>
      <x:c r="E31" s="18" t="str">
        <x:f>IF(OR(B31="",SUM(Products[Выручка])=0),"",D31/SUM(Products[Выручка]))</x:f>
      </x:c>
      <x:c r="F31" s="18" t="str">
        <x:f>IF(E31="","",SUM($E$5:E31))</x:f>
      </x:c>
      <x:c r="G31" s="13" t="str">
        <x:f>IF(E31="","",IF(F31-E31&lt;0.8,"A",IF(F31-E31&lt;0.95,"B","C")))</x:f>
      </x:c>
    </x:row>
    <x:row r="32" ht="23" customHeight="1">
      <x:c r="A32" s="13" t="n">
        <x:f>ROW()-4</x:f>
        <x:v>28</x:v>
      </x:c>
      <x:c r="B32" s="13" t="str">
        <x:f>_xlfn.IFNA(INDEX(Products[SKU],MATCH(A32,Products[Ранг выручки],0)),"")</x:f>
      </x:c>
      <x:c r="C32" s="13" t="str">
        <x:f>IF(B32="","",INDEX(Products[Товар],MATCH(B32,Products[SKU],0)))</x:f>
      </x:c>
      <x:c r="D32" s="15" t="str">
        <x:f>IF(B32="","",INDEX(Products[Выручка],MATCH(B32,Products[SKU],0)))</x:f>
      </x:c>
      <x:c r="E32" s="18" t="str">
        <x:f>IF(OR(B32="",SUM(Products[Выручка])=0),"",D32/SUM(Products[Выручка]))</x:f>
      </x:c>
      <x:c r="F32" s="18" t="str">
        <x:f>IF(E32="","",SUM($E$5:E32))</x:f>
      </x:c>
      <x:c r="G32" s="13" t="str">
        <x:f>IF(E32="","",IF(F32-E32&lt;0.8,"A",IF(F32-E32&lt;0.95,"B","C")))</x:f>
      </x:c>
    </x:row>
    <x:row r="33" ht="23" customHeight="1">
      <x:c r="A33" s="13" t="n">
        <x:f>ROW()-4</x:f>
        <x:v>29</x:v>
      </x:c>
      <x:c r="B33" s="13" t="str">
        <x:f>_xlfn.IFNA(INDEX(Products[SKU],MATCH(A33,Products[Ранг выручки],0)),"")</x:f>
      </x:c>
      <x:c r="C33" s="13" t="str">
        <x:f>IF(B33="","",INDEX(Products[Товар],MATCH(B33,Products[SKU],0)))</x:f>
      </x:c>
      <x:c r="D33" s="15" t="str">
        <x:f>IF(B33="","",INDEX(Products[Выручка],MATCH(B33,Products[SKU],0)))</x:f>
      </x:c>
      <x:c r="E33" s="18" t="str">
        <x:f>IF(OR(B33="",SUM(Products[Выручка])=0),"",D33/SUM(Products[Выручка]))</x:f>
      </x:c>
      <x:c r="F33" s="18" t="str">
        <x:f>IF(E33="","",SUM($E$5:E33))</x:f>
      </x:c>
      <x:c r="G33" s="13" t="str">
        <x:f>IF(E33="","",IF(F33-E33&lt;0.8,"A",IF(F33-E33&lt;0.95,"B","C")))</x:f>
      </x:c>
    </x:row>
    <x:row r="34" ht="23" customHeight="1">
      <x:c r="A34" s="13" t="n">
        <x:f>ROW()-4</x:f>
        <x:v>30</x:v>
      </x:c>
      <x:c r="B34" s="13" t="str">
        <x:f>_xlfn.IFNA(INDEX(Products[SKU],MATCH(A34,Products[Ранг выручки],0)),"")</x:f>
      </x:c>
      <x:c r="C34" s="13" t="str">
        <x:f>IF(B34="","",INDEX(Products[Товар],MATCH(B34,Products[SKU],0)))</x:f>
      </x:c>
      <x:c r="D34" s="15" t="str">
        <x:f>IF(B34="","",INDEX(Products[Выручка],MATCH(B34,Products[SKU],0)))</x:f>
      </x:c>
      <x:c r="E34" s="18" t="str">
        <x:f>IF(OR(B34="",SUM(Products[Выручка])=0),"",D34/SUM(Products[Выручка]))</x:f>
      </x:c>
      <x:c r="F34" s="18" t="str">
        <x:f>IF(E34="","",SUM($E$5:E34))</x:f>
      </x:c>
      <x:c r="G34" s="13" t="str">
        <x:f>IF(E34="","",IF(F34-E34&lt;0.8,"A",IF(F34-E34&lt;0.95,"B","C")))</x:f>
      </x:c>
    </x:row>
    <x:row r="35" ht="23" customHeight="1">
      <x:c r="A35" s="13" t="n">
        <x:f>ROW()-4</x:f>
        <x:v>31</x:v>
      </x:c>
      <x:c r="B35" s="13" t="str">
        <x:f>_xlfn.IFNA(INDEX(Products[SKU],MATCH(A35,Products[Ранг выручки],0)),"")</x:f>
      </x:c>
      <x:c r="C35" s="13" t="str">
        <x:f>IF(B35="","",INDEX(Products[Товар],MATCH(B35,Products[SKU],0)))</x:f>
      </x:c>
      <x:c r="D35" s="15" t="str">
        <x:f>IF(B35="","",INDEX(Products[Выручка],MATCH(B35,Products[SKU],0)))</x:f>
      </x:c>
      <x:c r="E35" s="18" t="str">
        <x:f>IF(OR(B35="",SUM(Products[Выручка])=0),"",D35/SUM(Products[Выручка]))</x:f>
      </x:c>
      <x:c r="F35" s="18" t="str">
        <x:f>IF(E35="","",SUM($E$5:E35))</x:f>
      </x:c>
      <x:c r="G35" s="13" t="str">
        <x:f>IF(E35="","",IF(F35-E35&lt;0.8,"A",IF(F35-E35&lt;0.95,"B","C")))</x:f>
      </x:c>
    </x:row>
    <x:row r="36" ht="23" customHeight="1">
      <x:c r="A36" s="13" t="n">
        <x:f>ROW()-4</x:f>
        <x:v>32</x:v>
      </x:c>
      <x:c r="B36" s="13" t="str">
        <x:f>_xlfn.IFNA(INDEX(Products[SKU],MATCH(A36,Products[Ранг выручки],0)),"")</x:f>
      </x:c>
      <x:c r="C36" s="13" t="str">
        <x:f>IF(B36="","",INDEX(Products[Товар],MATCH(B36,Products[SKU],0)))</x:f>
      </x:c>
      <x:c r="D36" s="15" t="str">
        <x:f>IF(B36="","",INDEX(Products[Выручка],MATCH(B36,Products[SKU],0)))</x:f>
      </x:c>
      <x:c r="E36" s="18" t="str">
        <x:f>IF(OR(B36="",SUM(Products[Выручка])=0),"",D36/SUM(Products[Выручка]))</x:f>
      </x:c>
      <x:c r="F36" s="18" t="str">
        <x:f>IF(E36="","",SUM($E$5:E36))</x:f>
      </x:c>
      <x:c r="G36" s="13" t="str">
        <x:f>IF(E36="","",IF(F36-E36&lt;0.8,"A",IF(F36-E36&lt;0.95,"B","C")))</x:f>
      </x:c>
    </x:row>
    <x:row r="37" ht="23" customHeight="1">
      <x:c r="A37" s="13" t="n">
        <x:f>ROW()-4</x:f>
        <x:v>33</x:v>
      </x:c>
      <x:c r="B37" s="13" t="str">
        <x:f>_xlfn.IFNA(INDEX(Products[SKU],MATCH(A37,Products[Ранг выручки],0)),"")</x:f>
      </x:c>
      <x:c r="C37" s="13" t="str">
        <x:f>IF(B37="","",INDEX(Products[Товар],MATCH(B37,Products[SKU],0)))</x:f>
      </x:c>
      <x:c r="D37" s="15" t="str">
        <x:f>IF(B37="","",INDEX(Products[Выручка],MATCH(B37,Products[SKU],0)))</x:f>
      </x:c>
      <x:c r="E37" s="18" t="str">
        <x:f>IF(OR(B37="",SUM(Products[Выручка])=0),"",D37/SUM(Products[Выручка]))</x:f>
      </x:c>
      <x:c r="F37" s="18" t="str">
        <x:f>IF(E37="","",SUM($E$5:E37))</x:f>
      </x:c>
      <x:c r="G37" s="13" t="str">
        <x:f>IF(E37="","",IF(F37-E37&lt;0.8,"A",IF(F37-E37&lt;0.95,"B","C")))</x:f>
      </x:c>
    </x:row>
    <x:row r="38" ht="23" customHeight="1">
      <x:c r="A38" s="13" t="n">
        <x:f>ROW()-4</x:f>
        <x:v>34</x:v>
      </x:c>
      <x:c r="B38" s="13" t="str">
        <x:f>_xlfn.IFNA(INDEX(Products[SKU],MATCH(A38,Products[Ранг выручки],0)),"")</x:f>
      </x:c>
      <x:c r="C38" s="13" t="str">
        <x:f>IF(B38="","",INDEX(Products[Товар],MATCH(B38,Products[SKU],0)))</x:f>
      </x:c>
      <x:c r="D38" s="15" t="str">
        <x:f>IF(B38="","",INDEX(Products[Выручка],MATCH(B38,Products[SKU],0)))</x:f>
      </x:c>
      <x:c r="E38" s="18" t="str">
        <x:f>IF(OR(B38="",SUM(Products[Выручка])=0),"",D38/SUM(Products[Выручка]))</x:f>
      </x:c>
      <x:c r="F38" s="18" t="str">
        <x:f>IF(E38="","",SUM($E$5:E38))</x:f>
      </x:c>
      <x:c r="G38" s="13" t="str">
        <x:f>IF(E38="","",IF(F38-E38&lt;0.8,"A",IF(F38-E38&lt;0.95,"B","C")))</x:f>
      </x:c>
    </x:row>
    <x:row r="39" ht="23" customHeight="1">
      <x:c r="A39" s="13" t="n">
        <x:f>ROW()-4</x:f>
        <x:v>35</x:v>
      </x:c>
      <x:c r="B39" s="13" t="str">
        <x:f>_xlfn.IFNA(INDEX(Products[SKU],MATCH(A39,Products[Ранг выручки],0)),"")</x:f>
      </x:c>
      <x:c r="C39" s="13" t="str">
        <x:f>IF(B39="","",INDEX(Products[Товар],MATCH(B39,Products[SKU],0)))</x:f>
      </x:c>
      <x:c r="D39" s="15" t="str">
        <x:f>IF(B39="","",INDEX(Products[Выручка],MATCH(B39,Products[SKU],0)))</x:f>
      </x:c>
      <x:c r="E39" s="18" t="str">
        <x:f>IF(OR(B39="",SUM(Products[Выручка])=0),"",D39/SUM(Products[Выручка]))</x:f>
      </x:c>
      <x:c r="F39" s="18" t="str">
        <x:f>IF(E39="","",SUM($E$5:E39))</x:f>
      </x:c>
      <x:c r="G39" s="13" t="str">
        <x:f>IF(E39="","",IF(F39-E39&lt;0.8,"A",IF(F39-E39&lt;0.95,"B","C")))</x:f>
      </x:c>
    </x:row>
    <x:row r="40" ht="23" customHeight="1">
      <x:c r="A40" s="13" t="n">
        <x:f>ROW()-4</x:f>
        <x:v>36</x:v>
      </x:c>
      <x:c r="B40" s="13" t="str">
        <x:f>_xlfn.IFNA(INDEX(Products[SKU],MATCH(A40,Products[Ранг выручки],0)),"")</x:f>
      </x:c>
      <x:c r="C40" s="13" t="str">
        <x:f>IF(B40="","",INDEX(Products[Товар],MATCH(B40,Products[SKU],0)))</x:f>
      </x:c>
      <x:c r="D40" s="15" t="str">
        <x:f>IF(B40="","",INDEX(Products[Выручка],MATCH(B40,Products[SKU],0)))</x:f>
      </x:c>
      <x:c r="E40" s="18" t="str">
        <x:f>IF(OR(B40="",SUM(Products[Выручка])=0),"",D40/SUM(Products[Выручка]))</x:f>
      </x:c>
      <x:c r="F40" s="18" t="str">
        <x:f>IF(E40="","",SUM($E$5:E40))</x:f>
      </x:c>
      <x:c r="G40" s="13" t="str">
        <x:f>IF(E40="","",IF(F40-E40&lt;0.8,"A",IF(F40-E40&lt;0.95,"B","C")))</x:f>
      </x:c>
    </x:row>
    <x:row r="41" ht="23" customHeight="1">
      <x:c r="A41" s="13" t="n">
        <x:f>ROW()-4</x:f>
        <x:v>37</x:v>
      </x:c>
      <x:c r="B41" s="13" t="str">
        <x:f>_xlfn.IFNA(INDEX(Products[SKU],MATCH(A41,Products[Ранг выручки],0)),"")</x:f>
      </x:c>
      <x:c r="C41" s="13" t="str">
        <x:f>IF(B41="","",INDEX(Products[Товар],MATCH(B41,Products[SKU],0)))</x:f>
      </x:c>
      <x:c r="D41" s="15" t="str">
        <x:f>IF(B41="","",INDEX(Products[Выручка],MATCH(B41,Products[SKU],0)))</x:f>
      </x:c>
      <x:c r="E41" s="18" t="str">
        <x:f>IF(OR(B41="",SUM(Products[Выручка])=0),"",D41/SUM(Products[Выручка]))</x:f>
      </x:c>
      <x:c r="F41" s="18" t="str">
        <x:f>IF(E41="","",SUM($E$5:E41))</x:f>
      </x:c>
      <x:c r="G41" s="13" t="str">
        <x:f>IF(E41="","",IF(F41-E41&lt;0.8,"A",IF(F41-E41&lt;0.95,"B","C")))</x:f>
      </x:c>
    </x:row>
    <x:row r="42" ht="23" customHeight="1">
      <x:c r="A42" s="13" t="n">
        <x:f>ROW()-4</x:f>
        <x:v>38</x:v>
      </x:c>
      <x:c r="B42" s="13" t="str">
        <x:f>_xlfn.IFNA(INDEX(Products[SKU],MATCH(A42,Products[Ранг выручки],0)),"")</x:f>
      </x:c>
      <x:c r="C42" s="13" t="str">
        <x:f>IF(B42="","",INDEX(Products[Товар],MATCH(B42,Products[SKU],0)))</x:f>
      </x:c>
      <x:c r="D42" s="15" t="str">
        <x:f>IF(B42="","",INDEX(Products[Выручка],MATCH(B42,Products[SKU],0)))</x:f>
      </x:c>
      <x:c r="E42" s="18" t="str">
        <x:f>IF(OR(B42="",SUM(Products[Выручка])=0),"",D42/SUM(Products[Выручка]))</x:f>
      </x:c>
      <x:c r="F42" s="18" t="str">
        <x:f>IF(E42="","",SUM($E$5:E42))</x:f>
      </x:c>
      <x:c r="G42" s="13" t="str">
        <x:f>IF(E42="","",IF(F42-E42&lt;0.8,"A",IF(F42-E42&lt;0.95,"B","C")))</x:f>
      </x:c>
    </x:row>
    <x:row r="43" ht="23" customHeight="1">
      <x:c r="A43" s="13" t="n">
        <x:f>ROW()-4</x:f>
        <x:v>39</x:v>
      </x:c>
      <x:c r="B43" s="13" t="str">
        <x:f>_xlfn.IFNA(INDEX(Products[SKU],MATCH(A43,Products[Ранг выручки],0)),"")</x:f>
      </x:c>
      <x:c r="C43" s="13" t="str">
        <x:f>IF(B43="","",INDEX(Products[Товар],MATCH(B43,Products[SKU],0)))</x:f>
      </x:c>
      <x:c r="D43" s="15" t="str">
        <x:f>IF(B43="","",INDEX(Products[Выручка],MATCH(B43,Products[SKU],0)))</x:f>
      </x:c>
      <x:c r="E43" s="18" t="str">
        <x:f>IF(OR(B43="",SUM(Products[Выручка])=0),"",D43/SUM(Products[Выручка]))</x:f>
      </x:c>
      <x:c r="F43" s="18" t="str">
        <x:f>IF(E43="","",SUM($E$5:E43))</x:f>
      </x:c>
      <x:c r="G43" s="13" t="str">
        <x:f>IF(E43="","",IF(F43-E43&lt;0.8,"A",IF(F43-E43&lt;0.95,"B","C")))</x:f>
      </x:c>
    </x:row>
    <x:row r="44" ht="23" customHeight="1">
      <x:c r="A44" s="13" t="n">
        <x:f>ROW()-4</x:f>
        <x:v>40</x:v>
      </x:c>
      <x:c r="B44" s="13" t="str">
        <x:f>_xlfn.IFNA(INDEX(Products[SKU],MATCH(A44,Products[Ранг выручки],0)),"")</x:f>
      </x:c>
      <x:c r="C44" s="13" t="str">
        <x:f>IF(B44="","",INDEX(Products[Товар],MATCH(B44,Products[SKU],0)))</x:f>
      </x:c>
      <x:c r="D44" s="15" t="str">
        <x:f>IF(B44="","",INDEX(Products[Выручка],MATCH(B44,Products[SKU],0)))</x:f>
      </x:c>
      <x:c r="E44" s="18" t="str">
        <x:f>IF(OR(B44="",SUM(Products[Выручка])=0),"",D44/SUM(Products[Выручка]))</x:f>
      </x:c>
      <x:c r="F44" s="18" t="str">
        <x:f>IF(E44="","",SUM($E$5:E44))</x:f>
      </x:c>
      <x:c r="G44" s="13" t="str">
        <x:f>IF(E44="","",IF(F44-E44&lt;0.8,"A",IF(F44-E44&lt;0.95,"B","C")))</x:f>
      </x:c>
    </x:row>
    <x:row r="45" ht="23" customHeight="1">
      <x:c r="A45" s="13" t="n">
        <x:f>ROW()-4</x:f>
        <x:v>41</x:v>
      </x:c>
      <x:c r="B45" s="13" t="str">
        <x:f>_xlfn.IFNA(INDEX(Products[SKU],MATCH(A45,Products[Ранг выручки],0)),"")</x:f>
      </x:c>
      <x:c r="C45" s="13" t="str">
        <x:f>IF(B45="","",INDEX(Products[Товар],MATCH(B45,Products[SKU],0)))</x:f>
      </x:c>
      <x:c r="D45" s="15" t="str">
        <x:f>IF(B45="","",INDEX(Products[Выручка],MATCH(B45,Products[SKU],0)))</x:f>
      </x:c>
      <x:c r="E45" s="18" t="str">
        <x:f>IF(OR(B45="",SUM(Products[Выручка])=0),"",D45/SUM(Products[Выручка]))</x:f>
      </x:c>
      <x:c r="F45" s="18" t="str">
        <x:f>IF(E45="","",SUM($E$5:E45))</x:f>
      </x:c>
      <x:c r="G45" s="13" t="str">
        <x:f>IF(E45="","",IF(F45-E45&lt;0.8,"A",IF(F45-E45&lt;0.95,"B","C")))</x:f>
      </x:c>
    </x:row>
    <x:row r="46" ht="23" customHeight="1">
      <x:c r="A46" s="13" t="n">
        <x:f>ROW()-4</x:f>
        <x:v>42</x:v>
      </x:c>
      <x:c r="B46" s="13" t="str">
        <x:f>_xlfn.IFNA(INDEX(Products[SKU],MATCH(A46,Products[Ранг выручки],0)),"")</x:f>
      </x:c>
      <x:c r="C46" s="13" t="str">
        <x:f>IF(B46="","",INDEX(Products[Товар],MATCH(B46,Products[SKU],0)))</x:f>
      </x:c>
      <x:c r="D46" s="15" t="str">
        <x:f>IF(B46="","",INDEX(Products[Выручка],MATCH(B46,Products[SKU],0)))</x:f>
      </x:c>
      <x:c r="E46" s="18" t="str">
        <x:f>IF(OR(B46="",SUM(Products[Выручка])=0),"",D46/SUM(Products[Выручка]))</x:f>
      </x:c>
      <x:c r="F46" s="18" t="str">
        <x:f>IF(E46="","",SUM($E$5:E46))</x:f>
      </x:c>
      <x:c r="G46" s="13" t="str">
        <x:f>IF(E46="","",IF(F46-E46&lt;0.8,"A",IF(F46-E46&lt;0.95,"B","C")))</x:f>
      </x:c>
    </x:row>
    <x:row r="47" ht="23" customHeight="1">
      <x:c r="A47" s="13" t="n">
        <x:f>ROW()-4</x:f>
        <x:v>43</x:v>
      </x:c>
      <x:c r="B47" s="13" t="str">
        <x:f>_xlfn.IFNA(INDEX(Products[SKU],MATCH(A47,Products[Ранг выручки],0)),"")</x:f>
      </x:c>
      <x:c r="C47" s="13" t="str">
        <x:f>IF(B47="","",INDEX(Products[Товар],MATCH(B47,Products[SKU],0)))</x:f>
      </x:c>
      <x:c r="D47" s="15" t="str">
        <x:f>IF(B47="","",INDEX(Products[Выручка],MATCH(B47,Products[SKU],0)))</x:f>
      </x:c>
      <x:c r="E47" s="18" t="str">
        <x:f>IF(OR(B47="",SUM(Products[Выручка])=0),"",D47/SUM(Products[Выручка]))</x:f>
      </x:c>
      <x:c r="F47" s="18" t="str">
        <x:f>IF(E47="","",SUM($E$5:E47))</x:f>
      </x:c>
      <x:c r="G47" s="13" t="str">
        <x:f>IF(E47="","",IF(F47-E47&lt;0.8,"A",IF(F47-E47&lt;0.95,"B","C")))</x:f>
      </x:c>
    </x:row>
    <x:row r="48" ht="23" customHeight="1">
      <x:c r="A48" s="13" t="n">
        <x:f>ROW()-4</x:f>
        <x:v>44</x:v>
      </x:c>
      <x:c r="B48" s="13" t="str">
        <x:f>_xlfn.IFNA(INDEX(Products[SKU],MATCH(A48,Products[Ранг выручки],0)),"")</x:f>
      </x:c>
      <x:c r="C48" s="13" t="str">
        <x:f>IF(B48="","",INDEX(Products[Товар],MATCH(B48,Products[SKU],0)))</x:f>
      </x:c>
      <x:c r="D48" s="15" t="str">
        <x:f>IF(B48="","",INDEX(Products[Выручка],MATCH(B48,Products[SKU],0)))</x:f>
      </x:c>
      <x:c r="E48" s="18" t="str">
        <x:f>IF(OR(B48="",SUM(Products[Выручка])=0),"",D48/SUM(Products[Выручка]))</x:f>
      </x:c>
      <x:c r="F48" s="18" t="str">
        <x:f>IF(E48="","",SUM($E$5:E48))</x:f>
      </x:c>
      <x:c r="G48" s="13" t="str">
        <x:f>IF(E48="","",IF(F48-E48&lt;0.8,"A",IF(F48-E48&lt;0.95,"B","C")))</x:f>
      </x:c>
    </x:row>
    <x:row r="49" ht="23" customHeight="1">
      <x:c r="A49" s="13" t="n">
        <x:f>ROW()-4</x:f>
        <x:v>45</x:v>
      </x:c>
      <x:c r="B49" s="13" t="str">
        <x:f>_xlfn.IFNA(INDEX(Products[SKU],MATCH(A49,Products[Ранг выручки],0)),"")</x:f>
      </x:c>
      <x:c r="C49" s="13" t="str">
        <x:f>IF(B49="","",INDEX(Products[Товар],MATCH(B49,Products[SKU],0)))</x:f>
      </x:c>
      <x:c r="D49" s="15" t="str">
        <x:f>IF(B49="","",INDEX(Products[Выручка],MATCH(B49,Products[SKU],0)))</x:f>
      </x:c>
      <x:c r="E49" s="18" t="str">
        <x:f>IF(OR(B49="",SUM(Products[Выручка])=0),"",D49/SUM(Products[Выручка]))</x:f>
      </x:c>
      <x:c r="F49" s="18" t="str">
        <x:f>IF(E49="","",SUM($E$5:E49))</x:f>
      </x:c>
      <x:c r="G49" s="13" t="str">
        <x:f>IF(E49="","",IF(F49-E49&lt;0.8,"A",IF(F49-E49&lt;0.95,"B","C")))</x:f>
      </x:c>
    </x:row>
    <x:row r="50" ht="23" customHeight="1">
      <x:c r="A50" s="13" t="n">
        <x:f>ROW()-4</x:f>
        <x:v>46</x:v>
      </x:c>
      <x:c r="B50" s="13" t="str">
        <x:f>_xlfn.IFNA(INDEX(Products[SKU],MATCH(A50,Products[Ранг выручки],0)),"")</x:f>
      </x:c>
      <x:c r="C50" s="13" t="str">
        <x:f>IF(B50="","",INDEX(Products[Товар],MATCH(B50,Products[SKU],0)))</x:f>
      </x:c>
      <x:c r="D50" s="15" t="str">
        <x:f>IF(B50="","",INDEX(Products[Выручка],MATCH(B50,Products[SKU],0)))</x:f>
      </x:c>
      <x:c r="E50" s="18" t="str">
        <x:f>IF(OR(B50="",SUM(Products[Выручка])=0),"",D50/SUM(Products[Выручка]))</x:f>
      </x:c>
      <x:c r="F50" s="18" t="str">
        <x:f>IF(E50="","",SUM($E$5:E50))</x:f>
      </x:c>
      <x:c r="G50" s="13" t="str">
        <x:f>IF(E50="","",IF(F50-E50&lt;0.8,"A",IF(F50-E50&lt;0.95,"B","C")))</x:f>
      </x:c>
    </x:row>
    <x:row r="51" ht="23" customHeight="1">
      <x:c r="A51" s="13" t="n">
        <x:f>ROW()-4</x:f>
        <x:v>47</x:v>
      </x:c>
      <x:c r="B51" s="13" t="str">
        <x:f>_xlfn.IFNA(INDEX(Products[SKU],MATCH(A51,Products[Ранг выручки],0)),"")</x:f>
      </x:c>
      <x:c r="C51" s="13" t="str">
        <x:f>IF(B51="","",INDEX(Products[Товар],MATCH(B51,Products[SKU],0)))</x:f>
      </x:c>
      <x:c r="D51" s="15" t="str">
        <x:f>IF(B51="","",INDEX(Products[Выручка],MATCH(B51,Products[SKU],0)))</x:f>
      </x:c>
      <x:c r="E51" s="18" t="str">
        <x:f>IF(OR(B51="",SUM(Products[Выручка])=0),"",D51/SUM(Products[Выручка]))</x:f>
      </x:c>
      <x:c r="F51" s="18" t="str">
        <x:f>IF(E51="","",SUM($E$5:E51))</x:f>
      </x:c>
      <x:c r="G51" s="13" t="str">
        <x:f>IF(E51="","",IF(F51-E51&lt;0.8,"A",IF(F51-E51&lt;0.95,"B","C")))</x:f>
      </x:c>
    </x:row>
    <x:row r="52" ht="23" customHeight="1">
      <x:c r="A52" s="13" t="n">
        <x:f>ROW()-4</x:f>
        <x:v>48</x:v>
      </x:c>
      <x:c r="B52" s="13" t="str">
        <x:f>_xlfn.IFNA(INDEX(Products[SKU],MATCH(A52,Products[Ранг выручки],0)),"")</x:f>
      </x:c>
      <x:c r="C52" s="13" t="str">
        <x:f>IF(B52="","",INDEX(Products[Товар],MATCH(B52,Products[SKU],0)))</x:f>
      </x:c>
      <x:c r="D52" s="15" t="str">
        <x:f>IF(B52="","",INDEX(Products[Выручка],MATCH(B52,Products[SKU],0)))</x:f>
      </x:c>
      <x:c r="E52" s="18" t="str">
        <x:f>IF(OR(B52="",SUM(Products[Выручка])=0),"",D52/SUM(Products[Выручка]))</x:f>
      </x:c>
      <x:c r="F52" s="18" t="str">
        <x:f>IF(E52="","",SUM($E$5:E52))</x:f>
      </x:c>
      <x:c r="G52" s="13" t="str">
        <x:f>IF(E52="","",IF(F52-E52&lt;0.8,"A",IF(F52-E52&lt;0.95,"B","C")))</x:f>
      </x:c>
    </x:row>
    <x:row r="53" ht="23" customHeight="1">
      <x:c r="A53" s="13" t="n">
        <x:f>ROW()-4</x:f>
        <x:v>49</x:v>
      </x:c>
      <x:c r="B53" s="13" t="str">
        <x:f>_xlfn.IFNA(INDEX(Products[SKU],MATCH(A53,Products[Ранг выручки],0)),"")</x:f>
      </x:c>
      <x:c r="C53" s="13" t="str">
        <x:f>IF(B53="","",INDEX(Products[Товар],MATCH(B53,Products[SKU],0)))</x:f>
      </x:c>
      <x:c r="D53" s="15" t="str">
        <x:f>IF(B53="","",INDEX(Products[Выручка],MATCH(B53,Products[SKU],0)))</x:f>
      </x:c>
      <x:c r="E53" s="18" t="str">
        <x:f>IF(OR(B53="",SUM(Products[Выручка])=0),"",D53/SUM(Products[Выручка]))</x:f>
      </x:c>
      <x:c r="F53" s="18" t="str">
        <x:f>IF(E53="","",SUM($E$5:E53))</x:f>
      </x:c>
      <x:c r="G53" s="13" t="str">
        <x:f>IF(E53="","",IF(F53-E53&lt;0.8,"A",IF(F53-E53&lt;0.95,"B","C")))</x:f>
      </x:c>
    </x:row>
    <x:row r="54" ht="23" customHeight="1">
      <x:c r="A54" s="13" t="n">
        <x:f>ROW()-4</x:f>
        <x:v>50</x:v>
      </x:c>
      <x:c r="B54" s="13" t="str">
        <x:f>_xlfn.IFNA(INDEX(Products[SKU],MATCH(A54,Products[Ранг выручки],0)),"")</x:f>
      </x:c>
      <x:c r="C54" s="13" t="str">
        <x:f>IF(B54="","",INDEX(Products[Товар],MATCH(B54,Products[SKU],0)))</x:f>
      </x:c>
      <x:c r="D54" s="15" t="str">
        <x:f>IF(B54="","",INDEX(Products[Выручка],MATCH(B54,Products[SKU],0)))</x:f>
      </x:c>
      <x:c r="E54" s="18" t="str">
        <x:f>IF(OR(B54="",SUM(Products[Выручка])=0),"",D54/SUM(Products[Выручка]))</x:f>
      </x:c>
      <x:c r="F54" s="18" t="str">
        <x:f>IF(E54="","",SUM($E$5:E54))</x:f>
      </x:c>
      <x:c r="G54" s="13" t="str">
        <x:f>IF(E54="","",IF(F54-E54&lt;0.8,"A",IF(F54-E54&lt;0.95,"B","C")))</x:f>
      </x:c>
    </x:row>
    <x:row r="55" ht="23" customHeight="1">
      <x:c r="A55" s="13" t="n">
        <x:f>ROW()-4</x:f>
        <x:v>51</x:v>
      </x:c>
      <x:c r="B55" s="13" t="str">
        <x:f>_xlfn.IFNA(INDEX(Products[SKU],MATCH(A55,Products[Ранг выручки],0)),"")</x:f>
      </x:c>
      <x:c r="C55" s="13" t="str">
        <x:f>IF(B55="","",INDEX(Products[Товар],MATCH(B55,Products[SKU],0)))</x:f>
      </x:c>
      <x:c r="D55" s="15" t="str">
        <x:f>IF(B55="","",INDEX(Products[Выручка],MATCH(B55,Products[SKU],0)))</x:f>
      </x:c>
      <x:c r="E55" s="18" t="str">
        <x:f>IF(OR(B55="",SUM(Products[Выручка])=0),"",D55/SUM(Products[Выручка]))</x:f>
      </x:c>
      <x:c r="F55" s="18" t="str">
        <x:f>IF(E55="","",SUM($E$5:E55))</x:f>
      </x:c>
      <x:c r="G55" s="13" t="str">
        <x:f>IF(E55="","",IF(F55-E55&lt;0.8,"A",IF(F55-E55&lt;0.95,"B","C")))</x:f>
      </x:c>
    </x:row>
    <x:row r="56" ht="23" customHeight="1">
      <x:c r="A56" s="13" t="n">
        <x:f>ROW()-4</x:f>
        <x:v>52</x:v>
      </x:c>
      <x:c r="B56" s="13" t="str">
        <x:f>_xlfn.IFNA(INDEX(Products[SKU],MATCH(A56,Products[Ранг выручки],0)),"")</x:f>
      </x:c>
      <x:c r="C56" s="13" t="str">
        <x:f>IF(B56="","",INDEX(Products[Товар],MATCH(B56,Products[SKU],0)))</x:f>
      </x:c>
      <x:c r="D56" s="15" t="str">
        <x:f>IF(B56="","",INDEX(Products[Выручка],MATCH(B56,Products[SKU],0)))</x:f>
      </x:c>
      <x:c r="E56" s="18" t="str">
        <x:f>IF(OR(B56="",SUM(Products[Выручка])=0),"",D56/SUM(Products[Выручка]))</x:f>
      </x:c>
      <x:c r="F56" s="18" t="str">
        <x:f>IF(E56="","",SUM($E$5:E56))</x:f>
      </x:c>
      <x:c r="G56" s="13" t="str">
        <x:f>IF(E56="","",IF(F56-E56&lt;0.8,"A",IF(F56-E56&lt;0.95,"B","C")))</x:f>
      </x:c>
    </x:row>
    <x:row r="57" ht="23" customHeight="1">
      <x:c r="A57" s="13" t="n">
        <x:f>ROW()-4</x:f>
        <x:v>53</x:v>
      </x:c>
      <x:c r="B57" s="13" t="str">
        <x:f>_xlfn.IFNA(INDEX(Products[SKU],MATCH(A57,Products[Ранг выручки],0)),"")</x:f>
      </x:c>
      <x:c r="C57" s="13" t="str">
        <x:f>IF(B57="","",INDEX(Products[Товар],MATCH(B57,Products[SKU],0)))</x:f>
      </x:c>
      <x:c r="D57" s="15" t="str">
        <x:f>IF(B57="","",INDEX(Products[Выручка],MATCH(B57,Products[SKU],0)))</x:f>
      </x:c>
      <x:c r="E57" s="18" t="str">
        <x:f>IF(OR(B57="",SUM(Products[Выручка])=0),"",D57/SUM(Products[Выручка]))</x:f>
      </x:c>
      <x:c r="F57" s="18" t="str">
        <x:f>IF(E57="","",SUM($E$5:E57))</x:f>
      </x:c>
      <x:c r="G57" s="13" t="str">
        <x:f>IF(E57="","",IF(F57-E57&lt;0.8,"A",IF(F57-E57&lt;0.95,"B","C")))</x:f>
      </x:c>
    </x:row>
    <x:row r="58" ht="23" customHeight="1">
      <x:c r="A58" s="13" t="n">
        <x:f>ROW()-4</x:f>
        <x:v>54</x:v>
      </x:c>
      <x:c r="B58" s="13" t="str">
        <x:f>_xlfn.IFNA(INDEX(Products[SKU],MATCH(A58,Products[Ранг выручки],0)),"")</x:f>
      </x:c>
      <x:c r="C58" s="13" t="str">
        <x:f>IF(B58="","",INDEX(Products[Товар],MATCH(B58,Products[SKU],0)))</x:f>
      </x:c>
      <x:c r="D58" s="15" t="str">
        <x:f>IF(B58="","",INDEX(Products[Выручка],MATCH(B58,Products[SKU],0)))</x:f>
      </x:c>
      <x:c r="E58" s="18" t="str">
        <x:f>IF(OR(B58="",SUM(Products[Выручка])=0),"",D58/SUM(Products[Выручка]))</x:f>
      </x:c>
      <x:c r="F58" s="18" t="str">
        <x:f>IF(E58="","",SUM($E$5:E58))</x:f>
      </x:c>
      <x:c r="G58" s="13" t="str">
        <x:f>IF(E58="","",IF(F58-E58&lt;0.8,"A",IF(F58-E58&lt;0.95,"B","C")))</x:f>
      </x:c>
    </x:row>
    <x:row r="59" ht="23" customHeight="1">
      <x:c r="A59" s="13" t="n">
        <x:f>ROW()-4</x:f>
        <x:v>55</x:v>
      </x:c>
      <x:c r="B59" s="13" t="str">
        <x:f>_xlfn.IFNA(INDEX(Products[SKU],MATCH(A59,Products[Ранг выручки],0)),"")</x:f>
      </x:c>
      <x:c r="C59" s="13" t="str">
        <x:f>IF(B59="","",INDEX(Products[Товар],MATCH(B59,Products[SKU],0)))</x:f>
      </x:c>
      <x:c r="D59" s="15" t="str">
        <x:f>IF(B59="","",INDEX(Products[Выручка],MATCH(B59,Products[SKU],0)))</x:f>
      </x:c>
      <x:c r="E59" s="18" t="str">
        <x:f>IF(OR(B59="",SUM(Products[Выручка])=0),"",D59/SUM(Products[Выручка]))</x:f>
      </x:c>
      <x:c r="F59" s="18" t="str">
        <x:f>IF(E59="","",SUM($E$5:E59))</x:f>
      </x:c>
      <x:c r="G59" s="13" t="str">
        <x:f>IF(E59="","",IF(F59-E59&lt;0.8,"A",IF(F59-E59&lt;0.95,"B","C")))</x:f>
      </x:c>
    </x:row>
    <x:row r="60" ht="23" customHeight="1">
      <x:c r="A60" s="13" t="n">
        <x:f>ROW()-4</x:f>
        <x:v>56</x:v>
      </x:c>
      <x:c r="B60" s="13" t="str">
        <x:f>_xlfn.IFNA(INDEX(Products[SKU],MATCH(A60,Products[Ранг выручки],0)),"")</x:f>
      </x:c>
      <x:c r="C60" s="13" t="str">
        <x:f>IF(B60="","",INDEX(Products[Товар],MATCH(B60,Products[SKU],0)))</x:f>
      </x:c>
      <x:c r="D60" s="15" t="str">
        <x:f>IF(B60="","",INDEX(Products[Выручка],MATCH(B60,Products[SKU],0)))</x:f>
      </x:c>
      <x:c r="E60" s="18" t="str">
        <x:f>IF(OR(B60="",SUM(Products[Выручка])=0),"",D60/SUM(Products[Выручка]))</x:f>
      </x:c>
      <x:c r="F60" s="18" t="str">
        <x:f>IF(E60="","",SUM($E$5:E60))</x:f>
      </x:c>
      <x:c r="G60" s="13" t="str">
        <x:f>IF(E60="","",IF(F60-E60&lt;0.8,"A",IF(F60-E60&lt;0.95,"B","C")))</x:f>
      </x:c>
    </x:row>
    <x:row r="61" ht="23" customHeight="1">
      <x:c r="A61" s="13" t="n">
        <x:f>ROW()-4</x:f>
        <x:v>57</x:v>
      </x:c>
      <x:c r="B61" s="13" t="str">
        <x:f>_xlfn.IFNA(INDEX(Products[SKU],MATCH(A61,Products[Ранг выручки],0)),"")</x:f>
      </x:c>
      <x:c r="C61" s="13" t="str">
        <x:f>IF(B61="","",INDEX(Products[Товар],MATCH(B61,Products[SKU],0)))</x:f>
      </x:c>
      <x:c r="D61" s="15" t="str">
        <x:f>IF(B61="","",INDEX(Products[Выручка],MATCH(B61,Products[SKU],0)))</x:f>
      </x:c>
      <x:c r="E61" s="18" t="str">
        <x:f>IF(OR(B61="",SUM(Products[Выручка])=0),"",D61/SUM(Products[Выручка]))</x:f>
      </x:c>
      <x:c r="F61" s="18" t="str">
        <x:f>IF(E61="","",SUM($E$5:E61))</x:f>
      </x:c>
      <x:c r="G61" s="13" t="str">
        <x:f>IF(E61="","",IF(F61-E61&lt;0.8,"A",IF(F61-E61&lt;0.95,"B","C")))</x:f>
      </x:c>
    </x:row>
    <x:row r="62" ht="23" customHeight="1">
      <x:c r="A62" s="13" t="n">
        <x:f>ROW()-4</x:f>
        <x:v>58</x:v>
      </x:c>
      <x:c r="B62" s="13" t="str">
        <x:f>_xlfn.IFNA(INDEX(Products[SKU],MATCH(A62,Products[Ранг выручки],0)),"")</x:f>
      </x:c>
      <x:c r="C62" s="13" t="str">
        <x:f>IF(B62="","",INDEX(Products[Товар],MATCH(B62,Products[SKU],0)))</x:f>
      </x:c>
      <x:c r="D62" s="15" t="str">
        <x:f>IF(B62="","",INDEX(Products[Выручка],MATCH(B62,Products[SKU],0)))</x:f>
      </x:c>
      <x:c r="E62" s="18" t="str">
        <x:f>IF(OR(B62="",SUM(Products[Выручка])=0),"",D62/SUM(Products[Выручка]))</x:f>
      </x:c>
      <x:c r="F62" s="18" t="str">
        <x:f>IF(E62="","",SUM($E$5:E62))</x:f>
      </x:c>
      <x:c r="G62" s="13" t="str">
        <x:f>IF(E62="","",IF(F62-E62&lt;0.8,"A",IF(F62-E62&lt;0.95,"B","C")))</x:f>
      </x:c>
    </x:row>
    <x:row r="63" ht="23" customHeight="1">
      <x:c r="A63" s="13" t="n">
        <x:f>ROW()-4</x:f>
        <x:v>59</x:v>
      </x:c>
      <x:c r="B63" s="13" t="str">
        <x:f>_xlfn.IFNA(INDEX(Products[SKU],MATCH(A63,Products[Ранг выручки],0)),"")</x:f>
      </x:c>
      <x:c r="C63" s="13" t="str">
        <x:f>IF(B63="","",INDEX(Products[Товар],MATCH(B63,Products[SKU],0)))</x:f>
      </x:c>
      <x:c r="D63" s="15" t="str">
        <x:f>IF(B63="","",INDEX(Products[Выручка],MATCH(B63,Products[SKU],0)))</x:f>
      </x:c>
      <x:c r="E63" s="18" t="str">
        <x:f>IF(OR(B63="",SUM(Products[Выручка])=0),"",D63/SUM(Products[Выручка]))</x:f>
      </x:c>
      <x:c r="F63" s="18" t="str">
        <x:f>IF(E63="","",SUM($E$5:E63))</x:f>
      </x:c>
      <x:c r="G63" s="13" t="str">
        <x:f>IF(E63="","",IF(F63-E63&lt;0.8,"A",IF(F63-E63&lt;0.95,"B","C")))</x:f>
      </x:c>
    </x:row>
    <x:row r="64" ht="23" customHeight="1">
      <x:c r="A64" s="13" t="n">
        <x:f>ROW()-4</x:f>
        <x:v>60</x:v>
      </x:c>
      <x:c r="B64" s="13" t="str">
        <x:f>_xlfn.IFNA(INDEX(Products[SKU],MATCH(A64,Products[Ранг выручки],0)),"")</x:f>
      </x:c>
      <x:c r="C64" s="13" t="str">
        <x:f>IF(B64="","",INDEX(Products[Товар],MATCH(B64,Products[SKU],0)))</x:f>
      </x:c>
      <x:c r="D64" s="15" t="str">
        <x:f>IF(B64="","",INDEX(Products[Выручка],MATCH(B64,Products[SKU],0)))</x:f>
      </x:c>
      <x:c r="E64" s="18" t="str">
        <x:f>IF(OR(B64="",SUM(Products[Выручка])=0),"",D64/SUM(Products[Выручка]))</x:f>
      </x:c>
      <x:c r="F64" s="18" t="str">
        <x:f>IF(E64="","",SUM($E$5:E64))</x:f>
      </x:c>
      <x:c r="G64" s="13" t="str">
        <x:f>IF(E64="","",IF(F64-E64&lt;0.8,"A",IF(F64-E64&lt;0.95,"B","C")))</x:f>
      </x:c>
    </x:row>
    <x:row r="65" ht="23" customHeight="1">
      <x:c r="A65" s="13" t="n">
        <x:f>ROW()-4</x:f>
        <x:v>61</x:v>
      </x:c>
      <x:c r="B65" s="13" t="str">
        <x:f>_xlfn.IFNA(INDEX(Products[SKU],MATCH(A65,Products[Ранг выручки],0)),"")</x:f>
      </x:c>
      <x:c r="C65" s="13" t="str">
        <x:f>IF(B65="","",INDEX(Products[Товар],MATCH(B65,Products[SKU],0)))</x:f>
      </x:c>
      <x:c r="D65" s="15" t="str">
        <x:f>IF(B65="","",INDEX(Products[Выручка],MATCH(B65,Products[SKU],0)))</x:f>
      </x:c>
      <x:c r="E65" s="18" t="str">
        <x:f>IF(OR(B65="",SUM(Products[Выручка])=0),"",D65/SUM(Products[Выручка]))</x:f>
      </x:c>
      <x:c r="F65" s="18" t="str">
        <x:f>IF(E65="","",SUM($E$5:E65))</x:f>
      </x:c>
      <x:c r="G65" s="13" t="str">
        <x:f>IF(E65="","",IF(F65-E65&lt;0.8,"A",IF(F65-E65&lt;0.95,"B","C")))</x:f>
      </x:c>
    </x:row>
    <x:row r="66" ht="23" customHeight="1">
      <x:c r="A66" s="13" t="n">
        <x:f>ROW()-4</x:f>
        <x:v>62</x:v>
      </x:c>
      <x:c r="B66" s="13" t="str">
        <x:f>_xlfn.IFNA(INDEX(Products[SKU],MATCH(A66,Products[Ранг выручки],0)),"")</x:f>
      </x:c>
      <x:c r="C66" s="13" t="str">
        <x:f>IF(B66="","",INDEX(Products[Товар],MATCH(B66,Products[SKU],0)))</x:f>
      </x:c>
      <x:c r="D66" s="15" t="str">
        <x:f>IF(B66="","",INDEX(Products[Выручка],MATCH(B66,Products[SKU],0)))</x:f>
      </x:c>
      <x:c r="E66" s="18" t="str">
        <x:f>IF(OR(B66="",SUM(Products[Выручка])=0),"",D66/SUM(Products[Выручка]))</x:f>
      </x:c>
      <x:c r="F66" s="18" t="str">
        <x:f>IF(E66="","",SUM($E$5:E66))</x:f>
      </x:c>
      <x:c r="G66" s="13" t="str">
        <x:f>IF(E66="","",IF(F66-E66&lt;0.8,"A",IF(F66-E66&lt;0.95,"B","C")))</x:f>
      </x:c>
    </x:row>
    <x:row r="67" ht="23" customHeight="1">
      <x:c r="A67" s="13" t="n">
        <x:f>ROW()-4</x:f>
        <x:v>63</x:v>
      </x:c>
      <x:c r="B67" s="13" t="str">
        <x:f>_xlfn.IFNA(INDEX(Products[SKU],MATCH(A67,Products[Ранг выручки],0)),"")</x:f>
      </x:c>
      <x:c r="C67" s="13" t="str">
        <x:f>IF(B67="","",INDEX(Products[Товар],MATCH(B67,Products[SKU],0)))</x:f>
      </x:c>
      <x:c r="D67" s="15" t="str">
        <x:f>IF(B67="","",INDEX(Products[Выручка],MATCH(B67,Products[SKU],0)))</x:f>
      </x:c>
      <x:c r="E67" s="18" t="str">
        <x:f>IF(OR(B67="",SUM(Products[Выручка])=0),"",D67/SUM(Products[Выручка]))</x:f>
      </x:c>
      <x:c r="F67" s="18" t="str">
        <x:f>IF(E67="","",SUM($E$5:E67))</x:f>
      </x:c>
      <x:c r="G67" s="13" t="str">
        <x:f>IF(E67="","",IF(F67-E67&lt;0.8,"A",IF(F67-E67&lt;0.95,"B","C")))</x:f>
      </x:c>
    </x:row>
    <x:row r="68" ht="23" customHeight="1">
      <x:c r="A68" s="13" t="n">
        <x:f>ROW()-4</x:f>
        <x:v>64</x:v>
      </x:c>
      <x:c r="B68" s="13" t="str">
        <x:f>_xlfn.IFNA(INDEX(Products[SKU],MATCH(A68,Products[Ранг выручки],0)),"")</x:f>
      </x:c>
      <x:c r="C68" s="13" t="str">
        <x:f>IF(B68="","",INDEX(Products[Товар],MATCH(B68,Products[SKU],0)))</x:f>
      </x:c>
      <x:c r="D68" s="15" t="str">
        <x:f>IF(B68="","",INDEX(Products[Выручка],MATCH(B68,Products[SKU],0)))</x:f>
      </x:c>
      <x:c r="E68" s="18" t="str">
        <x:f>IF(OR(B68="",SUM(Products[Выручка])=0),"",D68/SUM(Products[Выручка]))</x:f>
      </x:c>
      <x:c r="F68" s="18" t="str">
        <x:f>IF(E68="","",SUM($E$5:E68))</x:f>
      </x:c>
      <x:c r="G68" s="13" t="str">
        <x:f>IF(E68="","",IF(F68-E68&lt;0.8,"A",IF(F68-E68&lt;0.95,"B","C")))</x:f>
      </x:c>
    </x:row>
    <x:row r="69" ht="23" customHeight="1">
      <x:c r="A69" s="13" t="n">
        <x:f>ROW()-4</x:f>
        <x:v>65</x:v>
      </x:c>
      <x:c r="B69" s="13" t="str">
        <x:f>_xlfn.IFNA(INDEX(Products[SKU],MATCH(A69,Products[Ранг выручки],0)),"")</x:f>
      </x:c>
      <x:c r="C69" s="13" t="str">
        <x:f>IF(B69="","",INDEX(Products[Товар],MATCH(B69,Products[SKU],0)))</x:f>
      </x:c>
      <x:c r="D69" s="15" t="str">
        <x:f>IF(B69="","",INDEX(Products[Выручка],MATCH(B69,Products[SKU],0)))</x:f>
      </x:c>
      <x:c r="E69" s="18" t="str">
        <x:f>IF(OR(B69="",SUM(Products[Выручка])=0),"",D69/SUM(Products[Выручка]))</x:f>
      </x:c>
      <x:c r="F69" s="18" t="str">
        <x:f>IF(E69="","",SUM($E$5:E69))</x:f>
      </x:c>
      <x:c r="G69" s="13" t="str">
        <x:f>IF(E69="","",IF(F69-E69&lt;0.8,"A",IF(F69-E69&lt;0.95,"B","C")))</x:f>
      </x:c>
    </x:row>
    <x:row r="70" ht="23" customHeight="1">
      <x:c r="A70" s="13" t="n">
        <x:f>ROW()-4</x:f>
        <x:v>66</x:v>
      </x:c>
      <x:c r="B70" s="13" t="str">
        <x:f>_xlfn.IFNA(INDEX(Products[SKU],MATCH(A70,Products[Ранг выручки],0)),"")</x:f>
      </x:c>
      <x:c r="C70" s="13" t="str">
        <x:f>IF(B70="","",INDEX(Products[Товар],MATCH(B70,Products[SKU],0)))</x:f>
      </x:c>
      <x:c r="D70" s="15" t="str">
        <x:f>IF(B70="","",INDEX(Products[Выручка],MATCH(B70,Products[SKU],0)))</x:f>
      </x:c>
      <x:c r="E70" s="18" t="str">
        <x:f>IF(OR(B70="",SUM(Products[Выручка])=0),"",D70/SUM(Products[Выручка]))</x:f>
      </x:c>
      <x:c r="F70" s="18" t="str">
        <x:f>IF(E70="","",SUM($E$5:E70))</x:f>
      </x:c>
      <x:c r="G70" s="13" t="str">
        <x:f>IF(E70="","",IF(F70-E70&lt;0.8,"A",IF(F70-E70&lt;0.95,"B","C")))</x:f>
      </x:c>
    </x:row>
    <x:row r="71" ht="23" customHeight="1">
      <x:c r="A71" s="13" t="n">
        <x:f>ROW()-4</x:f>
        <x:v>67</x:v>
      </x:c>
      <x:c r="B71" s="13" t="str">
        <x:f>_xlfn.IFNA(INDEX(Products[SKU],MATCH(A71,Products[Ранг выручки],0)),"")</x:f>
      </x:c>
      <x:c r="C71" s="13" t="str">
        <x:f>IF(B71="","",INDEX(Products[Товар],MATCH(B71,Products[SKU],0)))</x:f>
      </x:c>
      <x:c r="D71" s="15" t="str">
        <x:f>IF(B71="","",INDEX(Products[Выручка],MATCH(B71,Products[SKU],0)))</x:f>
      </x:c>
      <x:c r="E71" s="18" t="str">
        <x:f>IF(OR(B71="",SUM(Products[Выручка])=0),"",D71/SUM(Products[Выручка]))</x:f>
      </x:c>
      <x:c r="F71" s="18" t="str">
        <x:f>IF(E71="","",SUM($E$5:E71))</x:f>
      </x:c>
      <x:c r="G71" s="13" t="str">
        <x:f>IF(E71="","",IF(F71-E71&lt;0.8,"A",IF(F71-E71&lt;0.95,"B","C")))</x:f>
      </x:c>
    </x:row>
    <x:row r="72" ht="23" customHeight="1">
      <x:c r="A72" s="13" t="n">
        <x:f>ROW()-4</x:f>
        <x:v>68</x:v>
      </x:c>
      <x:c r="B72" s="13" t="str">
        <x:f>_xlfn.IFNA(INDEX(Products[SKU],MATCH(A72,Products[Ранг выручки],0)),"")</x:f>
      </x:c>
      <x:c r="C72" s="13" t="str">
        <x:f>IF(B72="","",INDEX(Products[Товар],MATCH(B72,Products[SKU],0)))</x:f>
      </x:c>
      <x:c r="D72" s="15" t="str">
        <x:f>IF(B72="","",INDEX(Products[Выручка],MATCH(B72,Products[SKU],0)))</x:f>
      </x:c>
      <x:c r="E72" s="18" t="str">
        <x:f>IF(OR(B72="",SUM(Products[Выручка])=0),"",D72/SUM(Products[Выручка]))</x:f>
      </x:c>
      <x:c r="F72" s="18" t="str">
        <x:f>IF(E72="","",SUM($E$5:E72))</x:f>
      </x:c>
      <x:c r="G72" s="13" t="str">
        <x:f>IF(E72="","",IF(F72-E72&lt;0.8,"A",IF(F72-E72&lt;0.95,"B","C")))</x:f>
      </x:c>
    </x:row>
    <x:row r="73" ht="23" customHeight="1">
      <x:c r="A73" s="13" t="n">
        <x:f>ROW()-4</x:f>
        <x:v>69</x:v>
      </x:c>
      <x:c r="B73" s="13" t="str">
        <x:f>_xlfn.IFNA(INDEX(Products[SKU],MATCH(A73,Products[Ранг выручки],0)),"")</x:f>
      </x:c>
      <x:c r="C73" s="13" t="str">
        <x:f>IF(B73="","",INDEX(Products[Товар],MATCH(B73,Products[SKU],0)))</x:f>
      </x:c>
      <x:c r="D73" s="15" t="str">
        <x:f>IF(B73="","",INDEX(Products[Выручка],MATCH(B73,Products[SKU],0)))</x:f>
      </x:c>
      <x:c r="E73" s="18" t="str">
        <x:f>IF(OR(B73="",SUM(Products[Выручка])=0),"",D73/SUM(Products[Выручка]))</x:f>
      </x:c>
      <x:c r="F73" s="18" t="str">
        <x:f>IF(E73="","",SUM($E$5:E73))</x:f>
      </x:c>
      <x:c r="G73" s="13" t="str">
        <x:f>IF(E73="","",IF(F73-E73&lt;0.8,"A",IF(F73-E73&lt;0.95,"B","C")))</x:f>
      </x:c>
    </x:row>
    <x:row r="74" ht="23" customHeight="1">
      <x:c r="A74" s="13" t="n">
        <x:f>ROW()-4</x:f>
        <x:v>70</x:v>
      </x:c>
      <x:c r="B74" s="13" t="str">
        <x:f>_xlfn.IFNA(INDEX(Products[SKU],MATCH(A74,Products[Ранг выручки],0)),"")</x:f>
      </x:c>
      <x:c r="C74" s="13" t="str">
        <x:f>IF(B74="","",INDEX(Products[Товар],MATCH(B74,Products[SKU],0)))</x:f>
      </x:c>
      <x:c r="D74" s="15" t="str">
        <x:f>IF(B74="","",INDEX(Products[Выручка],MATCH(B74,Products[SKU],0)))</x:f>
      </x:c>
      <x:c r="E74" s="18" t="str">
        <x:f>IF(OR(B74="",SUM(Products[Выручка])=0),"",D74/SUM(Products[Выручка]))</x:f>
      </x:c>
      <x:c r="F74" s="18" t="str">
        <x:f>IF(E74="","",SUM($E$5:E74))</x:f>
      </x:c>
      <x:c r="G74" s="13" t="str">
        <x:f>IF(E74="","",IF(F74-E74&lt;0.8,"A",IF(F74-E74&lt;0.95,"B","C")))</x:f>
      </x:c>
    </x:row>
    <x:row r="75" ht="23" customHeight="1">
      <x:c r="A75" s="13" t="n">
        <x:f>ROW()-4</x:f>
        <x:v>71</x:v>
      </x:c>
      <x:c r="B75" s="13" t="str">
        <x:f>_xlfn.IFNA(INDEX(Products[SKU],MATCH(A75,Products[Ранг выручки],0)),"")</x:f>
      </x:c>
      <x:c r="C75" s="13" t="str">
        <x:f>IF(B75="","",INDEX(Products[Товар],MATCH(B75,Products[SKU],0)))</x:f>
      </x:c>
      <x:c r="D75" s="15" t="str">
        <x:f>IF(B75="","",INDEX(Products[Выручка],MATCH(B75,Products[SKU],0)))</x:f>
      </x:c>
      <x:c r="E75" s="18" t="str">
        <x:f>IF(OR(B75="",SUM(Products[Выручка])=0),"",D75/SUM(Products[Выручка]))</x:f>
      </x:c>
      <x:c r="F75" s="18" t="str">
        <x:f>IF(E75="","",SUM($E$5:E75))</x:f>
      </x:c>
      <x:c r="G75" s="13" t="str">
        <x:f>IF(E75="","",IF(F75-E75&lt;0.8,"A",IF(F75-E75&lt;0.95,"B","C")))</x:f>
      </x:c>
    </x:row>
    <x:row r="76" ht="23" customHeight="1">
      <x:c r="A76" s="13" t="n">
        <x:f>ROW()-4</x:f>
        <x:v>72</x:v>
      </x:c>
      <x:c r="B76" s="13" t="str">
        <x:f>_xlfn.IFNA(INDEX(Products[SKU],MATCH(A76,Products[Ранг выручки],0)),"")</x:f>
      </x:c>
      <x:c r="C76" s="13" t="str">
        <x:f>IF(B76="","",INDEX(Products[Товар],MATCH(B76,Products[SKU],0)))</x:f>
      </x:c>
      <x:c r="D76" s="15" t="str">
        <x:f>IF(B76="","",INDEX(Products[Выручка],MATCH(B76,Products[SKU],0)))</x:f>
      </x:c>
      <x:c r="E76" s="18" t="str">
        <x:f>IF(OR(B76="",SUM(Products[Выручка])=0),"",D76/SUM(Products[Выручка]))</x:f>
      </x:c>
      <x:c r="F76" s="18" t="str">
        <x:f>IF(E76="","",SUM($E$5:E76))</x:f>
      </x:c>
      <x:c r="G76" s="13" t="str">
        <x:f>IF(E76="","",IF(F76-E76&lt;0.8,"A",IF(F76-E76&lt;0.95,"B","C")))</x:f>
      </x:c>
    </x:row>
    <x:row r="77" ht="23" customHeight="1">
      <x:c r="A77" s="13" t="n">
        <x:f>ROW()-4</x:f>
        <x:v>73</x:v>
      </x:c>
      <x:c r="B77" s="13" t="str">
        <x:f>_xlfn.IFNA(INDEX(Products[SKU],MATCH(A77,Products[Ранг выручки],0)),"")</x:f>
      </x:c>
      <x:c r="C77" s="13" t="str">
        <x:f>IF(B77="","",INDEX(Products[Товар],MATCH(B77,Products[SKU],0)))</x:f>
      </x:c>
      <x:c r="D77" s="15" t="str">
        <x:f>IF(B77="","",INDEX(Products[Выручка],MATCH(B77,Products[SKU],0)))</x:f>
      </x:c>
      <x:c r="E77" s="18" t="str">
        <x:f>IF(OR(B77="",SUM(Products[Выручка])=0),"",D77/SUM(Products[Выручка]))</x:f>
      </x:c>
      <x:c r="F77" s="18" t="str">
        <x:f>IF(E77="","",SUM($E$5:E77))</x:f>
      </x:c>
      <x:c r="G77" s="13" t="str">
        <x:f>IF(E77="","",IF(F77-E77&lt;0.8,"A",IF(F77-E77&lt;0.95,"B","C")))</x:f>
      </x:c>
    </x:row>
    <x:row r="78" ht="23" customHeight="1">
      <x:c r="A78" s="13" t="n">
        <x:f>ROW()-4</x:f>
        <x:v>74</x:v>
      </x:c>
      <x:c r="B78" s="13" t="str">
        <x:f>_xlfn.IFNA(INDEX(Products[SKU],MATCH(A78,Products[Ранг выручки],0)),"")</x:f>
      </x:c>
      <x:c r="C78" s="13" t="str">
        <x:f>IF(B78="","",INDEX(Products[Товар],MATCH(B78,Products[SKU],0)))</x:f>
      </x:c>
      <x:c r="D78" s="15" t="str">
        <x:f>IF(B78="","",INDEX(Products[Выручка],MATCH(B78,Products[SKU],0)))</x:f>
      </x:c>
      <x:c r="E78" s="18" t="str">
        <x:f>IF(OR(B78="",SUM(Products[Выручка])=0),"",D78/SUM(Products[Выручка]))</x:f>
      </x:c>
      <x:c r="F78" s="18" t="str">
        <x:f>IF(E78="","",SUM($E$5:E78))</x:f>
      </x:c>
      <x:c r="G78" s="13" t="str">
        <x:f>IF(E78="","",IF(F78-E78&lt;0.8,"A",IF(F78-E78&lt;0.95,"B","C")))</x:f>
      </x:c>
    </x:row>
    <x:row r="79" ht="23" customHeight="1">
      <x:c r="A79" s="13" t="n">
        <x:f>ROW()-4</x:f>
        <x:v>75</x:v>
      </x:c>
      <x:c r="B79" s="13" t="str">
        <x:f>_xlfn.IFNA(INDEX(Products[SKU],MATCH(A79,Products[Ранг выручки],0)),"")</x:f>
      </x:c>
      <x:c r="C79" s="13" t="str">
        <x:f>IF(B79="","",INDEX(Products[Товар],MATCH(B79,Products[SKU],0)))</x:f>
      </x:c>
      <x:c r="D79" s="15" t="str">
        <x:f>IF(B79="","",INDEX(Products[Выручка],MATCH(B79,Products[SKU],0)))</x:f>
      </x:c>
      <x:c r="E79" s="18" t="str">
        <x:f>IF(OR(B79="",SUM(Products[Выручка])=0),"",D79/SUM(Products[Выручка]))</x:f>
      </x:c>
      <x:c r="F79" s="18" t="str">
        <x:f>IF(E79="","",SUM($E$5:E79))</x:f>
      </x:c>
      <x:c r="G79" s="13" t="str">
        <x:f>IF(E79="","",IF(F79-E79&lt;0.8,"A",IF(F79-E79&lt;0.95,"B","C")))</x:f>
      </x:c>
    </x:row>
    <x:row r="80" ht="23" customHeight="1">
      <x:c r="A80" s="13" t="n">
        <x:f>ROW()-4</x:f>
        <x:v>76</x:v>
      </x:c>
      <x:c r="B80" s="13" t="str">
        <x:f>_xlfn.IFNA(INDEX(Products[SKU],MATCH(A80,Products[Ранг выручки],0)),"")</x:f>
      </x:c>
      <x:c r="C80" s="13" t="str">
        <x:f>IF(B80="","",INDEX(Products[Товар],MATCH(B80,Products[SKU],0)))</x:f>
      </x:c>
      <x:c r="D80" s="15" t="str">
        <x:f>IF(B80="","",INDEX(Products[Выручка],MATCH(B80,Products[SKU],0)))</x:f>
      </x:c>
      <x:c r="E80" s="18" t="str">
        <x:f>IF(OR(B80="",SUM(Products[Выручка])=0),"",D80/SUM(Products[Выручка]))</x:f>
      </x:c>
      <x:c r="F80" s="18" t="str">
        <x:f>IF(E80="","",SUM($E$5:E80))</x:f>
      </x:c>
      <x:c r="G80" s="13" t="str">
        <x:f>IF(E80="","",IF(F80-E80&lt;0.8,"A",IF(F80-E80&lt;0.95,"B","C")))</x:f>
      </x:c>
    </x:row>
    <x:row r="81" ht="23" customHeight="1">
      <x:c r="A81" s="13" t="n">
        <x:f>ROW()-4</x:f>
        <x:v>77</x:v>
      </x:c>
      <x:c r="B81" s="13" t="str">
        <x:f>_xlfn.IFNA(INDEX(Products[SKU],MATCH(A81,Products[Ранг выручки],0)),"")</x:f>
      </x:c>
      <x:c r="C81" s="13" t="str">
        <x:f>IF(B81="","",INDEX(Products[Товар],MATCH(B81,Products[SKU],0)))</x:f>
      </x:c>
      <x:c r="D81" s="15" t="str">
        <x:f>IF(B81="","",INDEX(Products[Выручка],MATCH(B81,Products[SKU],0)))</x:f>
      </x:c>
      <x:c r="E81" s="18" t="str">
        <x:f>IF(OR(B81="",SUM(Products[Выручка])=0),"",D81/SUM(Products[Выручка]))</x:f>
      </x:c>
      <x:c r="F81" s="18" t="str">
        <x:f>IF(E81="","",SUM($E$5:E81))</x:f>
      </x:c>
      <x:c r="G81" s="13" t="str">
        <x:f>IF(E81="","",IF(F81-E81&lt;0.8,"A",IF(F81-E81&lt;0.95,"B","C")))</x:f>
      </x:c>
    </x:row>
    <x:row r="82" ht="23" customHeight="1">
      <x:c r="A82" s="13" t="n">
        <x:f>ROW()-4</x:f>
        <x:v>78</x:v>
      </x:c>
      <x:c r="B82" s="13" t="str">
        <x:f>_xlfn.IFNA(INDEX(Products[SKU],MATCH(A82,Products[Ранг выручки],0)),"")</x:f>
      </x:c>
      <x:c r="C82" s="13" t="str">
        <x:f>IF(B82="","",INDEX(Products[Товар],MATCH(B82,Products[SKU],0)))</x:f>
      </x:c>
      <x:c r="D82" s="15" t="str">
        <x:f>IF(B82="","",INDEX(Products[Выручка],MATCH(B82,Products[SKU],0)))</x:f>
      </x:c>
      <x:c r="E82" s="18" t="str">
        <x:f>IF(OR(B82="",SUM(Products[Выручка])=0),"",D82/SUM(Products[Выручка]))</x:f>
      </x:c>
      <x:c r="F82" s="18" t="str">
        <x:f>IF(E82="","",SUM($E$5:E82))</x:f>
      </x:c>
      <x:c r="G82" s="13" t="str">
        <x:f>IF(E82="","",IF(F82-E82&lt;0.8,"A",IF(F82-E82&lt;0.95,"B","C")))</x:f>
      </x:c>
    </x:row>
    <x:row r="83" ht="23" customHeight="1">
      <x:c r="A83" s="13" t="n">
        <x:f>ROW()-4</x:f>
        <x:v>79</x:v>
      </x:c>
      <x:c r="B83" s="13" t="str">
        <x:f>_xlfn.IFNA(INDEX(Products[SKU],MATCH(A83,Products[Ранг выручки],0)),"")</x:f>
      </x:c>
      <x:c r="C83" s="13" t="str">
        <x:f>IF(B83="","",INDEX(Products[Товар],MATCH(B83,Products[SKU],0)))</x:f>
      </x:c>
      <x:c r="D83" s="15" t="str">
        <x:f>IF(B83="","",INDEX(Products[Выручка],MATCH(B83,Products[SKU],0)))</x:f>
      </x:c>
      <x:c r="E83" s="18" t="str">
        <x:f>IF(OR(B83="",SUM(Products[Выручка])=0),"",D83/SUM(Products[Выручка]))</x:f>
      </x:c>
      <x:c r="F83" s="18" t="str">
        <x:f>IF(E83="","",SUM($E$5:E83))</x:f>
      </x:c>
      <x:c r="G83" s="13" t="str">
        <x:f>IF(E83="","",IF(F83-E83&lt;0.8,"A",IF(F83-E83&lt;0.95,"B","C")))</x:f>
      </x:c>
    </x:row>
    <x:row r="84" ht="23" customHeight="1">
      <x:c r="A84" s="13" t="n">
        <x:f>ROW()-4</x:f>
        <x:v>80</x:v>
      </x:c>
      <x:c r="B84" s="13" t="str">
        <x:f>_xlfn.IFNA(INDEX(Products[SKU],MATCH(A84,Products[Ранг выручки],0)),"")</x:f>
      </x:c>
      <x:c r="C84" s="13" t="str">
        <x:f>IF(B84="","",INDEX(Products[Товар],MATCH(B84,Products[SKU],0)))</x:f>
      </x:c>
      <x:c r="D84" s="15" t="str">
        <x:f>IF(B84="","",INDEX(Products[Выручка],MATCH(B84,Products[SKU],0)))</x:f>
      </x:c>
      <x:c r="E84" s="18" t="str">
        <x:f>IF(OR(B84="",SUM(Products[Выручка])=0),"",D84/SUM(Products[Выручка]))</x:f>
      </x:c>
      <x:c r="F84" s="18" t="str">
        <x:f>IF(E84="","",SUM($E$5:E84))</x:f>
      </x:c>
      <x:c r="G84" s="13" t="str">
        <x:f>IF(E84="","",IF(F84-E84&lt;0.8,"A",IF(F84-E84&lt;0.95,"B","C")))</x:f>
      </x:c>
    </x:row>
    <x:row r="85" ht="23" customHeight="1">
      <x:c r="A85" s="13" t="n">
        <x:f>ROW()-4</x:f>
        <x:v>81</x:v>
      </x:c>
      <x:c r="B85" s="13" t="str">
        <x:f>_xlfn.IFNA(INDEX(Products[SKU],MATCH(A85,Products[Ранг выручки],0)),"")</x:f>
      </x:c>
      <x:c r="C85" s="13" t="str">
        <x:f>IF(B85="","",INDEX(Products[Товар],MATCH(B85,Products[SKU],0)))</x:f>
      </x:c>
      <x:c r="D85" s="15" t="str">
        <x:f>IF(B85="","",INDEX(Products[Выручка],MATCH(B85,Products[SKU],0)))</x:f>
      </x:c>
      <x:c r="E85" s="18" t="str">
        <x:f>IF(OR(B85="",SUM(Products[Выручка])=0),"",D85/SUM(Products[Выручка]))</x:f>
      </x:c>
      <x:c r="F85" s="18" t="str">
        <x:f>IF(E85="","",SUM($E$5:E85))</x:f>
      </x:c>
      <x:c r="G85" s="13" t="str">
        <x:f>IF(E85="","",IF(F85-E85&lt;0.8,"A",IF(F85-E85&lt;0.95,"B","C")))</x:f>
      </x:c>
    </x:row>
    <x:row r="86" ht="23" customHeight="1">
      <x:c r="A86" s="13" t="n">
        <x:f>ROW()-4</x:f>
        <x:v>82</x:v>
      </x:c>
      <x:c r="B86" s="13" t="str">
        <x:f>_xlfn.IFNA(INDEX(Products[SKU],MATCH(A86,Products[Ранг выручки],0)),"")</x:f>
      </x:c>
      <x:c r="C86" s="13" t="str">
        <x:f>IF(B86="","",INDEX(Products[Товар],MATCH(B86,Products[SKU],0)))</x:f>
      </x:c>
      <x:c r="D86" s="15" t="str">
        <x:f>IF(B86="","",INDEX(Products[Выручка],MATCH(B86,Products[SKU],0)))</x:f>
      </x:c>
      <x:c r="E86" s="18" t="str">
        <x:f>IF(OR(B86="",SUM(Products[Выручка])=0),"",D86/SUM(Products[Выручка]))</x:f>
      </x:c>
      <x:c r="F86" s="18" t="str">
        <x:f>IF(E86="","",SUM($E$5:E86))</x:f>
      </x:c>
      <x:c r="G86" s="13" t="str">
        <x:f>IF(E86="","",IF(F86-E86&lt;0.8,"A",IF(F86-E86&lt;0.95,"B","C")))</x:f>
      </x:c>
    </x:row>
    <x:row r="87" ht="23" customHeight="1">
      <x:c r="A87" s="13" t="n">
        <x:f>ROW()-4</x:f>
        <x:v>83</x:v>
      </x:c>
      <x:c r="B87" s="13" t="str">
        <x:f>_xlfn.IFNA(INDEX(Products[SKU],MATCH(A87,Products[Ранг выручки],0)),"")</x:f>
      </x:c>
      <x:c r="C87" s="13" t="str">
        <x:f>IF(B87="","",INDEX(Products[Товар],MATCH(B87,Products[SKU],0)))</x:f>
      </x:c>
      <x:c r="D87" s="15" t="str">
        <x:f>IF(B87="","",INDEX(Products[Выручка],MATCH(B87,Products[SKU],0)))</x:f>
      </x:c>
      <x:c r="E87" s="18" t="str">
        <x:f>IF(OR(B87="",SUM(Products[Выручка])=0),"",D87/SUM(Products[Выручка]))</x:f>
      </x:c>
      <x:c r="F87" s="18" t="str">
        <x:f>IF(E87="","",SUM($E$5:E87))</x:f>
      </x:c>
      <x:c r="G87" s="13" t="str">
        <x:f>IF(E87="","",IF(F87-E87&lt;0.8,"A",IF(F87-E87&lt;0.95,"B","C")))</x:f>
      </x:c>
    </x:row>
    <x:row r="88" ht="23" customHeight="1">
      <x:c r="A88" s="13" t="n">
        <x:f>ROW()-4</x:f>
        <x:v>84</x:v>
      </x:c>
      <x:c r="B88" s="13" t="str">
        <x:f>_xlfn.IFNA(INDEX(Products[SKU],MATCH(A88,Products[Ранг выручки],0)),"")</x:f>
      </x:c>
      <x:c r="C88" s="13" t="str">
        <x:f>IF(B88="","",INDEX(Products[Товар],MATCH(B88,Products[SKU],0)))</x:f>
      </x:c>
      <x:c r="D88" s="15" t="str">
        <x:f>IF(B88="","",INDEX(Products[Выручка],MATCH(B88,Products[SKU],0)))</x:f>
      </x:c>
      <x:c r="E88" s="18" t="str">
        <x:f>IF(OR(B88="",SUM(Products[Выручка])=0),"",D88/SUM(Products[Выручка]))</x:f>
      </x:c>
      <x:c r="F88" s="18" t="str">
        <x:f>IF(E88="","",SUM($E$5:E88))</x:f>
      </x:c>
      <x:c r="G88" s="13" t="str">
        <x:f>IF(E88="","",IF(F88-E88&lt;0.8,"A",IF(F88-E88&lt;0.95,"B","C")))</x:f>
      </x:c>
    </x:row>
    <x:row r="89" ht="23" customHeight="1">
      <x:c r="A89" s="13" t="n">
        <x:f>ROW()-4</x:f>
        <x:v>85</x:v>
      </x:c>
      <x:c r="B89" s="13" t="str">
        <x:f>_xlfn.IFNA(INDEX(Products[SKU],MATCH(A89,Products[Ранг выручки],0)),"")</x:f>
      </x:c>
      <x:c r="C89" s="13" t="str">
        <x:f>IF(B89="","",INDEX(Products[Товар],MATCH(B89,Products[SKU],0)))</x:f>
      </x:c>
      <x:c r="D89" s="15" t="str">
        <x:f>IF(B89="","",INDEX(Products[Выручка],MATCH(B89,Products[SKU],0)))</x:f>
      </x:c>
      <x:c r="E89" s="18" t="str">
        <x:f>IF(OR(B89="",SUM(Products[Выручка])=0),"",D89/SUM(Products[Выручка]))</x:f>
      </x:c>
      <x:c r="F89" s="18" t="str">
        <x:f>IF(E89="","",SUM($E$5:E89))</x:f>
      </x:c>
      <x:c r="G89" s="13" t="str">
        <x:f>IF(E89="","",IF(F89-E89&lt;0.8,"A",IF(F89-E89&lt;0.95,"B","C")))</x:f>
      </x:c>
    </x:row>
    <x:row r="90" ht="23" customHeight="1">
      <x:c r="A90" s="13" t="n">
        <x:f>ROW()-4</x:f>
        <x:v>86</x:v>
      </x:c>
      <x:c r="B90" s="13" t="str">
        <x:f>_xlfn.IFNA(INDEX(Products[SKU],MATCH(A90,Products[Ранг выручки],0)),"")</x:f>
      </x:c>
      <x:c r="C90" s="13" t="str">
        <x:f>IF(B90="","",INDEX(Products[Товар],MATCH(B90,Products[SKU],0)))</x:f>
      </x:c>
      <x:c r="D90" s="15" t="str">
        <x:f>IF(B90="","",INDEX(Products[Выручка],MATCH(B90,Products[SKU],0)))</x:f>
      </x:c>
      <x:c r="E90" s="18" t="str">
        <x:f>IF(OR(B90="",SUM(Products[Выручка])=0),"",D90/SUM(Products[Выручка]))</x:f>
      </x:c>
      <x:c r="F90" s="18" t="str">
        <x:f>IF(E90="","",SUM($E$5:E90))</x:f>
      </x:c>
      <x:c r="G90" s="13" t="str">
        <x:f>IF(E90="","",IF(F90-E90&lt;0.8,"A",IF(F90-E90&lt;0.95,"B","C")))</x:f>
      </x:c>
    </x:row>
    <x:row r="91" ht="23" customHeight="1">
      <x:c r="A91" s="13" t="n">
        <x:f>ROW()-4</x:f>
        <x:v>87</x:v>
      </x:c>
      <x:c r="B91" s="13" t="str">
        <x:f>_xlfn.IFNA(INDEX(Products[SKU],MATCH(A91,Products[Ранг выручки],0)),"")</x:f>
      </x:c>
      <x:c r="C91" s="13" t="str">
        <x:f>IF(B91="","",INDEX(Products[Товар],MATCH(B91,Products[SKU],0)))</x:f>
      </x:c>
      <x:c r="D91" s="15" t="str">
        <x:f>IF(B91="","",INDEX(Products[Выручка],MATCH(B91,Products[SKU],0)))</x:f>
      </x:c>
      <x:c r="E91" s="18" t="str">
        <x:f>IF(OR(B91="",SUM(Products[Выручка])=0),"",D91/SUM(Products[Выручка]))</x:f>
      </x:c>
      <x:c r="F91" s="18" t="str">
        <x:f>IF(E91="","",SUM($E$5:E91))</x:f>
      </x:c>
      <x:c r="G91" s="13" t="str">
        <x:f>IF(E91="","",IF(F91-E91&lt;0.8,"A",IF(F91-E91&lt;0.95,"B","C")))</x:f>
      </x:c>
    </x:row>
    <x:row r="92" ht="23" customHeight="1">
      <x:c r="A92" s="13" t="n">
        <x:f>ROW()-4</x:f>
        <x:v>88</x:v>
      </x:c>
      <x:c r="B92" s="13" t="str">
        <x:f>_xlfn.IFNA(INDEX(Products[SKU],MATCH(A92,Products[Ранг выручки],0)),"")</x:f>
      </x:c>
      <x:c r="C92" s="13" t="str">
        <x:f>IF(B92="","",INDEX(Products[Товар],MATCH(B92,Products[SKU],0)))</x:f>
      </x:c>
      <x:c r="D92" s="15" t="str">
        <x:f>IF(B92="","",INDEX(Products[Выручка],MATCH(B92,Products[SKU],0)))</x:f>
      </x:c>
      <x:c r="E92" s="18" t="str">
        <x:f>IF(OR(B92="",SUM(Products[Выручка])=0),"",D92/SUM(Products[Выручка]))</x:f>
      </x:c>
      <x:c r="F92" s="18" t="str">
        <x:f>IF(E92="","",SUM($E$5:E92))</x:f>
      </x:c>
      <x:c r="G92" s="13" t="str">
        <x:f>IF(E92="","",IF(F92-E92&lt;0.8,"A",IF(F92-E92&lt;0.95,"B","C")))</x:f>
      </x:c>
    </x:row>
    <x:row r="93" ht="23" customHeight="1">
      <x:c r="A93" s="13" t="n">
        <x:f>ROW()-4</x:f>
        <x:v>89</x:v>
      </x:c>
      <x:c r="B93" s="13" t="str">
        <x:f>_xlfn.IFNA(INDEX(Products[SKU],MATCH(A93,Products[Ранг выручки],0)),"")</x:f>
      </x:c>
      <x:c r="C93" s="13" t="str">
        <x:f>IF(B93="","",INDEX(Products[Товар],MATCH(B93,Products[SKU],0)))</x:f>
      </x:c>
      <x:c r="D93" s="15" t="str">
        <x:f>IF(B93="","",INDEX(Products[Выручка],MATCH(B93,Products[SKU],0)))</x:f>
      </x:c>
      <x:c r="E93" s="18" t="str">
        <x:f>IF(OR(B93="",SUM(Products[Выручка])=0),"",D93/SUM(Products[Выручка]))</x:f>
      </x:c>
      <x:c r="F93" s="18" t="str">
        <x:f>IF(E93="","",SUM($E$5:E93))</x:f>
      </x:c>
      <x:c r="G93" s="13" t="str">
        <x:f>IF(E93="","",IF(F93-E93&lt;0.8,"A",IF(F93-E93&lt;0.95,"B","C")))</x:f>
      </x:c>
    </x:row>
    <x:row r="94" ht="23" customHeight="1">
      <x:c r="A94" s="13" t="n">
        <x:f>ROW()-4</x:f>
        <x:v>90</x:v>
      </x:c>
      <x:c r="B94" s="13" t="str">
        <x:f>_xlfn.IFNA(INDEX(Products[SKU],MATCH(A94,Products[Ранг выручки],0)),"")</x:f>
      </x:c>
      <x:c r="C94" s="13" t="str">
        <x:f>IF(B94="","",INDEX(Products[Товар],MATCH(B94,Products[SKU],0)))</x:f>
      </x:c>
      <x:c r="D94" s="15" t="str">
        <x:f>IF(B94="","",INDEX(Products[Выручка],MATCH(B94,Products[SKU],0)))</x:f>
      </x:c>
      <x:c r="E94" s="18" t="str">
        <x:f>IF(OR(B94="",SUM(Products[Выручка])=0),"",D94/SUM(Products[Выручка]))</x:f>
      </x:c>
      <x:c r="F94" s="18" t="str">
        <x:f>IF(E94="","",SUM($E$5:E94))</x:f>
      </x:c>
      <x:c r="G94" s="13" t="str">
        <x:f>IF(E94="","",IF(F94-E94&lt;0.8,"A",IF(F94-E94&lt;0.95,"B","C")))</x:f>
      </x:c>
    </x:row>
    <x:row r="95" ht="23" customHeight="1">
      <x:c r="A95" s="13" t="n">
        <x:f>ROW()-4</x:f>
        <x:v>91</x:v>
      </x:c>
      <x:c r="B95" s="13" t="str">
        <x:f>_xlfn.IFNA(INDEX(Products[SKU],MATCH(A95,Products[Ранг выручки],0)),"")</x:f>
      </x:c>
      <x:c r="C95" s="13" t="str">
        <x:f>IF(B95="","",INDEX(Products[Товар],MATCH(B95,Products[SKU],0)))</x:f>
      </x:c>
      <x:c r="D95" s="15" t="str">
        <x:f>IF(B95="","",INDEX(Products[Выручка],MATCH(B95,Products[SKU],0)))</x:f>
      </x:c>
      <x:c r="E95" s="18" t="str">
        <x:f>IF(OR(B95="",SUM(Products[Выручка])=0),"",D95/SUM(Products[Выручка]))</x:f>
      </x:c>
      <x:c r="F95" s="18" t="str">
        <x:f>IF(E95="","",SUM($E$5:E95))</x:f>
      </x:c>
      <x:c r="G95" s="13" t="str">
        <x:f>IF(E95="","",IF(F95-E95&lt;0.8,"A",IF(F95-E95&lt;0.95,"B","C")))</x:f>
      </x:c>
    </x:row>
    <x:row r="96" ht="23" customHeight="1">
      <x:c r="A96" s="13" t="n">
        <x:f>ROW()-4</x:f>
        <x:v>92</x:v>
      </x:c>
      <x:c r="B96" s="13" t="str">
        <x:f>_xlfn.IFNA(INDEX(Products[SKU],MATCH(A96,Products[Ранг выручки],0)),"")</x:f>
      </x:c>
      <x:c r="C96" s="13" t="str">
        <x:f>IF(B96="","",INDEX(Products[Товар],MATCH(B96,Products[SKU],0)))</x:f>
      </x:c>
      <x:c r="D96" s="15" t="str">
        <x:f>IF(B96="","",INDEX(Products[Выручка],MATCH(B96,Products[SKU],0)))</x:f>
      </x:c>
      <x:c r="E96" s="18" t="str">
        <x:f>IF(OR(B96="",SUM(Products[Выручка])=0),"",D96/SUM(Products[Выручка]))</x:f>
      </x:c>
      <x:c r="F96" s="18" t="str">
        <x:f>IF(E96="","",SUM($E$5:E96))</x:f>
      </x:c>
      <x:c r="G96" s="13" t="str">
        <x:f>IF(E96="","",IF(F96-E96&lt;0.8,"A",IF(F96-E96&lt;0.95,"B","C")))</x:f>
      </x:c>
    </x:row>
    <x:row r="97" ht="23" customHeight="1">
      <x:c r="A97" s="13" t="n">
        <x:f>ROW()-4</x:f>
        <x:v>93</x:v>
      </x:c>
      <x:c r="B97" s="13" t="str">
        <x:f>_xlfn.IFNA(INDEX(Products[SKU],MATCH(A97,Products[Ранг выручки],0)),"")</x:f>
      </x:c>
      <x:c r="C97" s="13" t="str">
        <x:f>IF(B97="","",INDEX(Products[Товар],MATCH(B97,Products[SKU],0)))</x:f>
      </x:c>
      <x:c r="D97" s="15" t="str">
        <x:f>IF(B97="","",INDEX(Products[Выручка],MATCH(B97,Products[SKU],0)))</x:f>
      </x:c>
      <x:c r="E97" s="18" t="str">
        <x:f>IF(OR(B97="",SUM(Products[Выручка])=0),"",D97/SUM(Products[Выручка]))</x:f>
      </x:c>
      <x:c r="F97" s="18" t="str">
        <x:f>IF(E97="","",SUM($E$5:E97))</x:f>
      </x:c>
      <x:c r="G97" s="13" t="str">
        <x:f>IF(E97="","",IF(F97-E97&lt;0.8,"A",IF(F97-E97&lt;0.95,"B","C")))</x:f>
      </x:c>
    </x:row>
    <x:row r="98" ht="23" customHeight="1">
      <x:c r="A98" s="13" t="n">
        <x:f>ROW()-4</x:f>
        <x:v>94</x:v>
      </x:c>
      <x:c r="B98" s="13" t="str">
        <x:f>_xlfn.IFNA(INDEX(Products[SKU],MATCH(A98,Products[Ранг выручки],0)),"")</x:f>
      </x:c>
      <x:c r="C98" s="13" t="str">
        <x:f>IF(B98="","",INDEX(Products[Товар],MATCH(B98,Products[SKU],0)))</x:f>
      </x:c>
      <x:c r="D98" s="15" t="str">
        <x:f>IF(B98="","",INDEX(Products[Выручка],MATCH(B98,Products[SKU],0)))</x:f>
      </x:c>
      <x:c r="E98" s="18" t="str">
        <x:f>IF(OR(B98="",SUM(Products[Выручка])=0),"",D98/SUM(Products[Выручка]))</x:f>
      </x:c>
      <x:c r="F98" s="18" t="str">
        <x:f>IF(E98="","",SUM($E$5:E98))</x:f>
      </x:c>
      <x:c r="G98" s="13" t="str">
        <x:f>IF(E98="","",IF(F98-E98&lt;0.8,"A",IF(F98-E98&lt;0.95,"B","C")))</x:f>
      </x:c>
    </x:row>
    <x:row r="99" ht="23" customHeight="1">
      <x:c r="A99" s="13" t="n">
        <x:f>ROW()-4</x:f>
        <x:v>95</x:v>
      </x:c>
      <x:c r="B99" s="13" t="str">
        <x:f>_xlfn.IFNA(INDEX(Products[SKU],MATCH(A99,Products[Ранг выручки],0)),"")</x:f>
      </x:c>
      <x:c r="C99" s="13" t="str">
        <x:f>IF(B99="","",INDEX(Products[Товар],MATCH(B99,Products[SKU],0)))</x:f>
      </x:c>
      <x:c r="D99" s="15" t="str">
        <x:f>IF(B99="","",INDEX(Products[Выручка],MATCH(B99,Products[SKU],0)))</x:f>
      </x:c>
      <x:c r="E99" s="18" t="str">
        <x:f>IF(OR(B99="",SUM(Products[Выручка])=0),"",D99/SUM(Products[Выручка]))</x:f>
      </x:c>
      <x:c r="F99" s="18" t="str">
        <x:f>IF(E99="","",SUM($E$5:E99))</x:f>
      </x:c>
      <x:c r="G99" s="13" t="str">
        <x:f>IF(E99="","",IF(F99-E99&lt;0.8,"A",IF(F99-E99&lt;0.95,"B","C")))</x:f>
      </x:c>
    </x:row>
    <x:row r="100" ht="23" customHeight="1">
      <x:c r="A100" s="13" t="n">
        <x:f>ROW()-4</x:f>
        <x:v>96</x:v>
      </x:c>
      <x:c r="B100" s="13" t="str">
        <x:f>_xlfn.IFNA(INDEX(Products[SKU],MATCH(A100,Products[Ранг выручки],0)),"")</x:f>
      </x:c>
      <x:c r="C100" s="13" t="str">
        <x:f>IF(B100="","",INDEX(Products[Товар],MATCH(B100,Products[SKU],0)))</x:f>
      </x:c>
      <x:c r="D100" s="15" t="str">
        <x:f>IF(B100="","",INDEX(Products[Выручка],MATCH(B100,Products[SKU],0)))</x:f>
      </x:c>
      <x:c r="E100" s="18" t="str">
        <x:f>IF(OR(B100="",SUM(Products[Выручка])=0),"",D100/SUM(Products[Выручка]))</x:f>
      </x:c>
      <x:c r="F100" s="18" t="str">
        <x:f>IF(E100="","",SUM($E$5:E100))</x:f>
      </x:c>
      <x:c r="G100" s="13" t="str">
        <x:f>IF(E100="","",IF(F100-E100&lt;0.8,"A",IF(F100-E100&lt;0.95,"B","C")))</x:f>
      </x:c>
    </x:row>
    <x:row r="101" ht="23" customHeight="1">
      <x:c r="A101" s="13" t="n">
        <x:f>ROW()-4</x:f>
        <x:v>97</x:v>
      </x:c>
      <x:c r="B101" s="13" t="str">
        <x:f>_xlfn.IFNA(INDEX(Products[SKU],MATCH(A101,Products[Ранг выручки],0)),"")</x:f>
      </x:c>
      <x:c r="C101" s="13" t="str">
        <x:f>IF(B101="","",INDEX(Products[Товар],MATCH(B101,Products[SKU],0)))</x:f>
      </x:c>
      <x:c r="D101" s="15" t="str">
        <x:f>IF(B101="","",INDEX(Products[Выручка],MATCH(B101,Products[SKU],0)))</x:f>
      </x:c>
      <x:c r="E101" s="18" t="str">
        <x:f>IF(OR(B101="",SUM(Products[Выручка])=0),"",D101/SUM(Products[Выручка]))</x:f>
      </x:c>
      <x:c r="F101" s="18" t="str">
        <x:f>IF(E101="","",SUM($E$5:E101))</x:f>
      </x:c>
      <x:c r="G101" s="13" t="str">
        <x:f>IF(E101="","",IF(F101-E101&lt;0.8,"A",IF(F101-E101&lt;0.95,"B","C")))</x:f>
      </x:c>
    </x:row>
    <x:row r="102" ht="23" customHeight="1">
      <x:c r="A102" s="13" t="n">
        <x:f>ROW()-4</x:f>
        <x:v>98</x:v>
      </x:c>
      <x:c r="B102" s="13" t="str">
        <x:f>_xlfn.IFNA(INDEX(Products[SKU],MATCH(A102,Products[Ранг выручки],0)),"")</x:f>
      </x:c>
      <x:c r="C102" s="13" t="str">
        <x:f>IF(B102="","",INDEX(Products[Товар],MATCH(B102,Products[SKU],0)))</x:f>
      </x:c>
      <x:c r="D102" s="15" t="str">
        <x:f>IF(B102="","",INDEX(Products[Выручка],MATCH(B102,Products[SKU],0)))</x:f>
      </x:c>
      <x:c r="E102" s="18" t="str">
        <x:f>IF(OR(B102="",SUM(Products[Выручка])=0),"",D102/SUM(Products[Выручка]))</x:f>
      </x:c>
      <x:c r="F102" s="18" t="str">
        <x:f>IF(E102="","",SUM($E$5:E102))</x:f>
      </x:c>
      <x:c r="G102" s="13" t="str">
        <x:f>IF(E102="","",IF(F102-E102&lt;0.8,"A",IF(F102-E102&lt;0.95,"B","C")))</x:f>
      </x:c>
    </x:row>
    <x:row r="103" ht="23" customHeight="1">
      <x:c r="A103" s="13" t="n">
        <x:f>ROW()-4</x:f>
        <x:v>99</x:v>
      </x:c>
      <x:c r="B103" s="13" t="str">
        <x:f>_xlfn.IFNA(INDEX(Products[SKU],MATCH(A103,Products[Ранг выручки],0)),"")</x:f>
      </x:c>
      <x:c r="C103" s="13" t="str">
        <x:f>IF(B103="","",INDEX(Products[Товар],MATCH(B103,Products[SKU],0)))</x:f>
      </x:c>
      <x:c r="D103" s="15" t="str">
        <x:f>IF(B103="","",INDEX(Products[Выручка],MATCH(B103,Products[SKU],0)))</x:f>
      </x:c>
      <x:c r="E103" s="18" t="str">
        <x:f>IF(OR(B103="",SUM(Products[Выручка])=0),"",D103/SUM(Products[Выручка]))</x:f>
      </x:c>
      <x:c r="F103" s="18" t="str">
        <x:f>IF(E103="","",SUM($E$5:E103))</x:f>
      </x:c>
      <x:c r="G103" s="13" t="str">
        <x:f>IF(E103="","",IF(F103-E103&lt;0.8,"A",IF(F103-E103&lt;0.95,"B","C")))</x:f>
      </x:c>
    </x:row>
    <x:row r="104" ht="23" customHeight="1">
      <x:c r="A104" s="13" t="n">
        <x:f>ROW()-4</x:f>
        <x:v>100</x:v>
      </x:c>
      <x:c r="B104" s="13" t="str">
        <x:f>_xlfn.IFNA(INDEX(Products[SKU],MATCH(A104,Products[Ранг выручки],0)),"")</x:f>
      </x:c>
      <x:c r="C104" s="13" t="str">
        <x:f>IF(B104="","",INDEX(Products[Товар],MATCH(B104,Products[SKU],0)))</x:f>
      </x:c>
      <x:c r="D104" s="15" t="str">
        <x:f>IF(B104="","",INDEX(Products[Выручка],MATCH(B104,Products[SKU],0)))</x:f>
      </x:c>
      <x:c r="E104" s="18" t="str">
        <x:f>IF(OR(B104="",SUM(Products[Выручка])=0),"",D104/SUM(Products[Выручка]))</x:f>
      </x:c>
      <x:c r="F104" s="18" t="str">
        <x:f>IF(E104="","",SUM($E$5:E104))</x:f>
      </x:c>
      <x:c r="G104" s="13" t="str">
        <x:f>IF(E104="","",IF(F104-E104&lt;0.8,"A",IF(F104-E104&lt;0.95,"B","C")))</x:f>
      </x:c>
    </x:row>
  </x:sheetData>
  <x:sheetProtection sheet="1" objects="1" scenarios="1" autoFilter="0" sort="0" selectLockedCells="0" selectUnlockedCells="0"/>
  <x:mergeCells>
    <x:mergeCell ref="A1:L1"/>
    <x:mergeCell ref="A2:L2"/>
  </x:mergeCells>
  <x:pageMargins left="0.7" right="0.7" top="0.75" bottom="0.75" header="0.3" footer="0.3"/>
  <x:tableParts count="1">
    <x:tablePart ns1:id="Rd821676dad914c2d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34" customHeight="1">
      <x:c r="A1" s="2" t="str">
        <x:v>AutoHome  /  Безубыточность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Постоянные расходы (введите план)</x:v>
      </x:c>
      <x:c r="B4" s="52"/>
      <x:c r="C4" s="1"/>
      <x:c r="D4" s="1" t="str">
        <x:v>Объём (введите)</x:v>
      </x:c>
      <x:c r="E4" s="1" t="str">
        <x:v>Плановая прибыль</x:v>
      </x:c>
      <x:c r="F4" s="1"/>
      <x:c r="G4" s="1"/>
      <x:c r="H4" s="1"/>
      <x:c r="I4" s="1"/>
      <x:c r="J4" s="1"/>
      <x:c r="K4" s="1"/>
      <x:c r="L4" s="1"/>
    </x:row>
    <x:row r="5">
      <x:c r="A5" s="1" t="str">
        <x:v>Цена единицы (план)</x:v>
      </x:c>
      <x:c r="B5" s="52"/>
      <x:c r="C5" s="1"/>
      <x:c r="D5" s="53"/>
      <x:c r="E5" s="19" t="str">
        <x:f>IF(D5="","",D5*$B$7-$B$4)</x:f>
      </x:c>
      <x:c r="F5" s="1"/>
      <x:c r="G5" s="1"/>
      <x:c r="H5" s="1"/>
      <x:c r="I5" s="1"/>
      <x:c r="J5" s="1"/>
      <x:c r="K5" s="1"/>
      <x:c r="L5" s="1"/>
    </x:row>
    <x:row r="6">
      <x:c r="A6" s="1" t="str">
        <x:v>Переменные расходы на единицу (план)</x:v>
      </x:c>
      <x:c r="B6" s="52"/>
      <x:c r="C6" s="1"/>
      <x:c r="D6" s="53"/>
      <x:c r="E6" s="19" t="str">
        <x:f>IF(D6="","",D6*$B$7-$B$4)</x:f>
      </x:c>
      <x:c r="F6" s="1"/>
      <x:c r="G6" s="1"/>
      <x:c r="H6" s="1"/>
      <x:c r="I6" s="1"/>
      <x:c r="J6" s="1"/>
      <x:c r="K6" s="1"/>
      <x:c r="L6" s="1"/>
    </x:row>
    <x:row r="7">
      <x:c r="A7" s="1" t="str">
        <x:v>Вклад с единицы</x:v>
      </x:c>
      <x:c r="B7" s="19" t="n">
        <x:f>B5-B6</x:f>
        <x:v>0</x:v>
      </x:c>
      <x:c r="C7" s="1"/>
      <x:c r="D7" s="53"/>
      <x:c r="E7" s="19" t="str">
        <x:f>IF(D7="","",D7*$B$7-$B$4)</x:f>
      </x:c>
      <x:c r="F7" s="1"/>
      <x:c r="G7" s="1"/>
      <x:c r="H7" s="1"/>
      <x:c r="I7" s="1"/>
      <x:c r="J7" s="1"/>
      <x:c r="K7" s="1"/>
      <x:c r="L7" s="1"/>
    </x:row>
    <x:row r="8">
      <x:c r="A8" s="1" t="str">
        <x:v>Минимум продаж, шт.</x:v>
      </x:c>
      <x:c r="B8" s="1" t="str">
        <x:f>IF(B7&lt;=0,"Нет точки",ROUNDUP(B4/B7,0))</x:f>
        <x:v>Нет точки</x:v>
      </x:c>
      <x:c r="C8" s="1"/>
      <x:c r="D8" s="53"/>
      <x:c r="E8" s="19" t="str">
        <x:f>IF(D8="","",D8*$B$7-$B$4)</x:f>
      </x:c>
      <x:c r="F8" s="1"/>
      <x:c r="G8" s="1"/>
      <x:c r="H8" s="1"/>
      <x:c r="I8" s="1"/>
      <x:c r="J8" s="1"/>
      <x:c r="K8" s="1"/>
      <x:c r="L8" s="1"/>
    </x:row>
    <x:row r="9">
      <x:c r="A9" s="1" t="str">
        <x:v>Выручка безубыточности</x:v>
      </x:c>
      <x:c r="B9" s="19" t="str">
        <x:f>IF(ISNUMBER(B8),B8*B5,"")</x:f>
      </x:c>
      <x:c r="C9" s="1"/>
      <x:c r="D9" s="53"/>
      <x:c r="E9" s="19" t="str">
        <x:f>IF(D9="","",D9*$B$7-$B$4)</x:f>
      </x:c>
      <x:c r="F9" s="1"/>
      <x:c r="G9" s="1"/>
      <x:c r="H9" s="1"/>
      <x:c r="I9" s="1"/>
      <x:c r="J9" s="1"/>
      <x:c r="K9" s="1"/>
      <x:c r="L9" s="1"/>
    </x:row>
    <x:row r="10">
      <x:c r="A10" s="1" t="str">
        <x:v>Фактические переменные расходы</x:v>
      </x:c>
      <x:c r="B10" s="19" t="n">
        <x:f>'Дашборд'!B6+'Дашборд'!B8+'Дашборд'!B9+'Дашборд'!B10+'Дашборд'!B12</x:f>
        <x:v>0</x:v>
      </x:c>
      <x:c r="C10" s="1"/>
      <x:c r="D10" s="53"/>
      <x:c r="E10" s="19" t="str">
        <x:f>IF(D10="","",D10*$B$7-$B$4)</x:f>
      </x:c>
      <x:c r="F10" s="1"/>
      <x:c r="G10" s="1"/>
      <x:c r="H10" s="1"/>
      <x:c r="I10" s="1"/>
      <x:c r="J10" s="1"/>
      <x:c r="K10" s="1"/>
      <x:c r="L10" s="1"/>
    </x:row>
    <x:row r="11">
      <x:c r="A11" s="1" t="str">
        <x:v>Фактические постоянные расходы</x:v>
      </x:c>
      <x:c r="B11" s="19" t="n">
        <x:f>SUMIFS(Cash[Расход прибыли],Cash[Дата],"&gt;="&amp;'Настройки'!B4,Cash[Дата],"&lt;"&amp;('Настройки'!B5+1),Cash[Категория],"Постоянные")</x:f>
        <x:v>0</x:v>
      </x:c>
      <x:c r="C11" s="1"/>
      <x:c r="D11" s="53"/>
      <x:c r="E11" s="19" t="str">
        <x:f>IF(D11="","",D11*$B$7-$B$4)</x:f>
      </x:c>
      <x:c r="F11" s="1"/>
      <x:c r="G11" s="1"/>
      <x:c r="H11" s="1"/>
      <x:c r="I11" s="1"/>
      <x:c r="J11" s="1"/>
      <x:c r="K11" s="1"/>
      <x:c r="L11" s="1"/>
    </x:row>
    <x:row r="12">
      <x:c r="A12" s="1"/>
      <x:c r="B12" s="1"/>
      <x:c r="C12" s="1"/>
      <x:c r="D12" s="53"/>
      <x:c r="E12" s="19" t="str">
        <x:f>IF(D12="","",D12*$B$7-$B$4)</x:f>
      </x:c>
      <x:c r="F12" s="1"/>
      <x:c r="G12" s="1"/>
      <x:c r="H12" s="1"/>
      <x:c r="I12" s="1"/>
      <x:c r="J12" s="1"/>
      <x:c r="K12" s="1"/>
      <x:c r="L12" s="1"/>
    </x:row>
    <x:row r="13">
      <x:c r="A13" s="1"/>
      <x:c r="B13" s="1"/>
      <x:c r="C13" s="1"/>
      <x:c r="D13" s="53"/>
      <x:c r="E13" s="19" t="str">
        <x:f>IF(D13="","",D13*$B$7-$B$4)</x:f>
      </x:c>
      <x:c r="F13" s="1"/>
      <x:c r="G13" s="1"/>
      <x:c r="H13" s="1"/>
      <x:c r="I13" s="1"/>
      <x:c r="J13" s="1"/>
      <x:c r="K13" s="1"/>
      <x:c r="L13" s="1"/>
    </x:row>
    <x:row r="14">
      <x:c r="A14" s="1"/>
      <x:c r="B14" s="1"/>
      <x:c r="C14" s="1"/>
      <x:c r="D14" s="53"/>
      <x:c r="E14" s="19" t="str">
        <x:f>IF(D14="","",D14*$B$7-$B$4)</x:f>
      </x:c>
      <x:c r="F14" s="1"/>
      <x:c r="G14" s="1"/>
      <x:c r="H14" s="1"/>
      <x:c r="I14" s="1"/>
      <x:c r="J14" s="1"/>
      <x:c r="K14" s="1"/>
      <x:c r="L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sheetProtection sheet="1" objects="1" scenarios="1" autoFilter="0" sort="0" selectLockedCells="0" selectUnlockedCells="0"/>
  <x:mergeCells>
    <x:mergeCell ref="A1:L1"/>
    <x:mergeCell ref="A2:L2"/>
  </x:mergeCells>
  <x:pageMargins left="0.7" right="0.7" top="0.75" bottom="0.75" header="0.3" footer="0.3"/>
</x:worksheet>
</file>

<file path=xl/worksheets/sheet7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19" hidden="0" customWidth="1"/>
    <x:col min="24" max="24" width="19" hidden="0" customWidth="1"/>
    <x:col min="25" max="25" width="19" hidden="0" customWidth="1"/>
    <x:col min="26" max="26" width="19" hidden="0" customWidth="1"/>
    <x:col min="27" max="27" width="19" hidden="0" customWidth="1"/>
  </x:cols>
  <x:sheetData>
    <x:row r="1" ht="34" customHeight="1">
      <x:c r="A1" s="2" t="str">
        <x:v>AutoHome  /  Заказы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56" customHeight="1">
      <x:c r="A4" s="9" t="str">
        <x:v>Дата</x:v>
      </x:c>
      <x:c r="B4" s="9" t="str">
        <x:v>Номер</x:v>
      </x:c>
      <x:c r="C4" s="9" t="str">
        <x:v>SKU</x:v>
      </x:c>
      <x:c r="D4" s="9" t="str">
        <x:v>Товар</x:v>
      </x:c>
      <x:c r="E4" s="9" t="str">
        <x:v>Количество</x:v>
      </x:c>
      <x:c r="F4" s="9" t="str">
        <x:v>Цена</x:v>
      </x:c>
      <x:c r="G4" s="9" t="str">
        <x:v>Скидка за ед.</x:v>
      </x:c>
      <x:c r="H4" s="9" t="str">
        <x:v>Выручка</x:v>
      </x:c>
      <x:c r="I4" s="9" t="str">
        <x:v>Себестоимость ед.</x:v>
      </x:c>
      <x:c r="J4" s="9" t="str">
        <x:v>Себестоимость</x:v>
      </x:c>
      <x:c r="K4" s="9" t="str">
        <x:v>Комиссия</x:v>
      </x:c>
      <x:c r="L4" s="9" t="str">
        <x:v>Доставка</x:v>
      </x:c>
      <x:c r="M4" s="10" t="str">
        <x:v>Упаковка</x:v>
      </x:c>
      <x:c r="N4" s="10" t="str">
        <x:v>Реклама</x:v>
      </x:c>
      <x:c r="O4" s="10" t="str">
        <x:v>Прочее</x:v>
      </x:c>
      <x:c r="P4" s="10" t="str">
        <x:v>Прибыль</x:v>
      </x:c>
      <x:c r="Q4" s="10" t="str">
        <x:v>Маржа</x:v>
      </x:c>
      <x:c r="R4" s="10" t="str">
        <x:v>Наценка</x:v>
      </x:c>
      <x:c r="S4" s="10" t="str">
        <x:v>Статус</x:v>
      </x:c>
      <x:c r="T4" s="10" t="str">
        <x:v>Причина</x:v>
      </x:c>
      <x:c r="U4" s="10" t="str">
        <x:v>Возврат на склад шт.</x:v>
      </x:c>
      <x:c r="V4" s="10" t="str">
        <x:v>Выбыло шт.</x:v>
      </x:c>
      <x:c r="W4" s="10" t="str">
        <x:v>Первый номер</x:v>
      </x:c>
      <x:c r="X4" s="10" t="str">
        <x:v>Выкуп заказ</x:v>
      </x:c>
      <x:c r="Y4" s="10" t="str">
        <x:v>Отмена заказ</x:v>
      </x:c>
      <x:c r="Z4" s="10" t="str">
        <x:v>Возврат заказ</x:v>
      </x:c>
      <x:c r="AA4" s="10" t="str">
        <x:v>Продано шт.</x:v>
      </x:c>
    </x:row>
    <x:row r="5" ht="23" customHeight="1">
      <x:c r="A5" s="54"/>
      <x:c r="B5" s="51"/>
      <x:c r="C5" s="51"/>
      <x:c r="D5" s="11" t="str">
        <x:f>IF(C5="","",_xlfn.IFNA(INDEX(Products[Товар],MATCH(C5,Products[SKU],0)),"Нет SKU"))</x:f>
      </x:c>
      <x:c r="E5" s="51"/>
      <x:c r="F5" s="55"/>
      <x:c r="G5" s="55"/>
      <x:c r="H5" s="16" t="str">
        <x:f>IF(C5="","",IF(S5="Выкуплен",E5*(F5-G5),0))</x:f>
      </x:c>
      <x:c r="I5" s="55"/>
      <x:c r="J5" s="16" t="str">
        <x:f>IF(C5="","",IF(S5="Выкуплен",E5*I5,IF(S5="Возврат",MAX(0,E5-U5)*I5,0)))</x:f>
      </x:c>
      <x:c r="K5" s="55"/>
      <x:c r="L5" s="55"/>
      <x:c r="M5" s="55"/>
      <x:c r="N5" s="55"/>
      <x:c r="O5" s="55"/>
      <x:c r="P5" s="16" t="str">
        <x:f>IF(C5="","",H5-J5-SUM(K5:O5))</x:f>
      </x:c>
      <x:c r="Q5" s="17" t="str">
        <x:f>IF(C5="","",IF(H5=0,"",P5/H5))</x:f>
      </x:c>
      <x:c r="R5" s="17" t="str">
        <x:f>IF(C5="","",IF(J5=0,"",(H5-J5)/J5))</x:f>
      </x:c>
      <x:c r="S5" s="51"/>
      <x:c r="T5" s="51"/>
      <x:c r="U5" s="51"/>
      <x:c r="V5" s="11" t="str">
        <x:f>IF(C5="","",IF(OR(S5="Выкуплен",S5="Возврат"),E5,0))</x:f>
      </x:c>
      <x:c r="W5" s="11" t="str">
        <x:f>IF(C5="","",IF(B5="",0,IF(COUNTIFS($B$5:B5,B5)=1,1,0)))</x:f>
      </x:c>
      <x:c r="X5" s="11" t="str">
        <x:f>IF(C5="","",IF(S5="Выкуплен",W5,0))</x:f>
      </x:c>
      <x:c r="Y5" s="11" t="str">
        <x:f>IF(C5="","",IF(S5="Отменён",W5,0))</x:f>
      </x:c>
      <x:c r="Z5" s="11" t="str">
        <x:f>IF(C5="","",IF(S5="Возврат",W5,0))</x:f>
      </x:c>
      <x:c r="AA5" s="11" t="str">
        <x:f>IF(C5="","",IF(S5="Выкуплен",E5,0))</x:f>
      </x:c>
    </x:row>
    <x:row r="6" ht="23" customHeight="1">
      <x:c r="A6" s="54"/>
      <x:c r="B6" s="51"/>
      <x:c r="C6" s="51"/>
      <x:c r="D6" s="11" t="str">
        <x:f>IF(C6="","",_xlfn.IFNA(INDEX(Products[Товар],MATCH(C6,Products[SKU],0)),"Нет SKU"))</x:f>
      </x:c>
      <x:c r="E6" s="51"/>
      <x:c r="F6" s="55"/>
      <x:c r="G6" s="55"/>
      <x:c r="H6" s="16" t="str">
        <x:f>IF(C6="","",IF(S6="Выкуплен",E6*(F6-G6),0))</x:f>
      </x:c>
      <x:c r="I6" s="55"/>
      <x:c r="J6" s="16" t="str">
        <x:f>IF(C6="","",IF(S6="Выкуплен",E6*I6,IF(S6="Возврат",MAX(0,E6-U6)*I6,0)))</x:f>
      </x:c>
      <x:c r="K6" s="55"/>
      <x:c r="L6" s="55"/>
      <x:c r="M6" s="55"/>
      <x:c r="N6" s="55"/>
      <x:c r="O6" s="55"/>
      <x:c r="P6" s="16" t="str">
        <x:f>IF(C6="","",H6-J6-SUM(K6:O6))</x:f>
      </x:c>
      <x:c r="Q6" s="17" t="str">
        <x:f>IF(C6="","",IF(H6=0,"",P6/H6))</x:f>
      </x:c>
      <x:c r="R6" s="17" t="str">
        <x:f>IF(C6="","",IF(J6=0,"",(H6-J6)/J6))</x:f>
      </x:c>
      <x:c r="S6" s="51"/>
      <x:c r="T6" s="51"/>
      <x:c r="U6" s="51"/>
      <x:c r="V6" s="11" t="str">
        <x:f>IF(C6="","",IF(OR(S6="Выкуплен",S6="Возврат"),E6,0))</x:f>
      </x:c>
      <x:c r="W6" s="11" t="str">
        <x:f>IF(C6="","",IF(B6="",0,IF(COUNTIFS($B$5:B6,B6)=1,1,0)))</x:f>
      </x:c>
      <x:c r="X6" s="11" t="str">
        <x:f>IF(C6="","",IF(S6="Выкуплен",W6,0))</x:f>
      </x:c>
      <x:c r="Y6" s="11" t="str">
        <x:f>IF(C6="","",IF(S6="Отменён",W6,0))</x:f>
      </x:c>
      <x:c r="Z6" s="11" t="str">
        <x:f>IF(C6="","",IF(S6="Возврат",W6,0))</x:f>
      </x:c>
      <x:c r="AA6" s="11" t="str">
        <x:f>IF(C6="","",IF(S6="Выкуплен",E6,0))</x:f>
      </x:c>
    </x:row>
    <x:row r="7" ht="23" customHeight="1">
      <x:c r="A7" s="54"/>
      <x:c r="B7" s="51"/>
      <x:c r="C7" s="51"/>
      <x:c r="D7" s="11" t="str">
        <x:f>IF(C7="","",_xlfn.IFNA(INDEX(Products[Товар],MATCH(C7,Products[SKU],0)),"Нет SKU"))</x:f>
      </x:c>
      <x:c r="E7" s="51"/>
      <x:c r="F7" s="55"/>
      <x:c r="G7" s="55"/>
      <x:c r="H7" s="16" t="str">
        <x:f>IF(C7="","",IF(S7="Выкуплен",E7*(F7-G7),0))</x:f>
      </x:c>
      <x:c r="I7" s="55"/>
      <x:c r="J7" s="16" t="str">
        <x:f>IF(C7="","",IF(S7="Выкуплен",E7*I7,IF(S7="Возврат",MAX(0,E7-U7)*I7,0)))</x:f>
      </x:c>
      <x:c r="K7" s="55"/>
      <x:c r="L7" s="55"/>
      <x:c r="M7" s="55"/>
      <x:c r="N7" s="55"/>
      <x:c r="O7" s="55"/>
      <x:c r="P7" s="16" t="str">
        <x:f>IF(C7="","",H7-J7-SUM(K7:O7))</x:f>
      </x:c>
      <x:c r="Q7" s="17" t="str">
        <x:f>IF(C7="","",IF(H7=0,"",P7/H7))</x:f>
      </x:c>
      <x:c r="R7" s="17" t="str">
        <x:f>IF(C7="","",IF(J7=0,"",(H7-J7)/J7))</x:f>
      </x:c>
      <x:c r="S7" s="51"/>
      <x:c r="T7" s="51"/>
      <x:c r="U7" s="51"/>
      <x:c r="V7" s="11" t="str">
        <x:f>IF(C7="","",IF(OR(S7="Выкуплен",S7="Возврат"),E7,0))</x:f>
      </x:c>
      <x:c r="W7" s="11" t="str">
        <x:f>IF(C7="","",IF(B7="",0,IF(COUNTIFS($B$5:B7,B7)=1,1,0)))</x:f>
      </x:c>
      <x:c r="X7" s="11" t="str">
        <x:f>IF(C7="","",IF(S7="Выкуплен",W7,0))</x:f>
      </x:c>
      <x:c r="Y7" s="11" t="str">
        <x:f>IF(C7="","",IF(S7="Отменён",W7,0))</x:f>
      </x:c>
      <x:c r="Z7" s="11" t="str">
        <x:f>IF(C7="","",IF(S7="Возврат",W7,0))</x:f>
      </x:c>
      <x:c r="AA7" s="11" t="str">
        <x:f>IF(C7="","",IF(S7="Выкуплен",E7,0))</x:f>
      </x:c>
    </x:row>
    <x:row r="8" ht="23" customHeight="1">
      <x:c r="A8" s="54"/>
      <x:c r="B8" s="51"/>
      <x:c r="C8" s="51"/>
      <x:c r="D8" s="11" t="str">
        <x:f>IF(C8="","",_xlfn.IFNA(INDEX(Products[Товар],MATCH(C8,Products[SKU],0)),"Нет SKU"))</x:f>
      </x:c>
      <x:c r="E8" s="51"/>
      <x:c r="F8" s="55"/>
      <x:c r="G8" s="55"/>
      <x:c r="H8" s="16" t="str">
        <x:f>IF(C8="","",IF(S8="Выкуплен",E8*(F8-G8),0))</x:f>
      </x:c>
      <x:c r="I8" s="55"/>
      <x:c r="J8" s="16" t="str">
        <x:f>IF(C8="","",IF(S8="Выкуплен",E8*I8,IF(S8="Возврат",MAX(0,E8-U8)*I8,0)))</x:f>
      </x:c>
      <x:c r="K8" s="55"/>
      <x:c r="L8" s="55"/>
      <x:c r="M8" s="55"/>
      <x:c r="N8" s="55"/>
      <x:c r="O8" s="55"/>
      <x:c r="P8" s="16" t="str">
        <x:f>IF(C8="","",H8-J8-SUM(K8:O8))</x:f>
      </x:c>
      <x:c r="Q8" s="17" t="str">
        <x:f>IF(C8="","",IF(H8=0,"",P8/H8))</x:f>
      </x:c>
      <x:c r="R8" s="17" t="str">
        <x:f>IF(C8="","",IF(J8=0,"",(H8-J8)/J8))</x:f>
      </x:c>
      <x:c r="S8" s="51"/>
      <x:c r="T8" s="51"/>
      <x:c r="U8" s="51"/>
      <x:c r="V8" s="11" t="str">
        <x:f>IF(C8="","",IF(OR(S8="Выкуплен",S8="Возврат"),E8,0))</x:f>
      </x:c>
      <x:c r="W8" s="11" t="str">
        <x:f>IF(C8="","",IF(B8="",0,IF(COUNTIFS($B$5:B8,B8)=1,1,0)))</x:f>
      </x:c>
      <x:c r="X8" s="11" t="str">
        <x:f>IF(C8="","",IF(S8="Выкуплен",W8,0))</x:f>
      </x:c>
      <x:c r="Y8" s="11" t="str">
        <x:f>IF(C8="","",IF(S8="Отменён",W8,0))</x:f>
      </x:c>
      <x:c r="Z8" s="11" t="str">
        <x:f>IF(C8="","",IF(S8="Возврат",W8,0))</x:f>
      </x:c>
      <x:c r="AA8" s="11" t="str">
        <x:f>IF(C8="","",IF(S8="Выкуплен",E8,0))</x:f>
      </x:c>
    </x:row>
    <x:row r="9" ht="23" customHeight="1">
      <x:c r="A9" s="54"/>
      <x:c r="B9" s="51"/>
      <x:c r="C9" s="51"/>
      <x:c r="D9" s="11" t="str">
        <x:f>IF(C9="","",_xlfn.IFNA(INDEX(Products[Товар],MATCH(C9,Products[SKU],0)),"Нет SKU"))</x:f>
      </x:c>
      <x:c r="E9" s="51"/>
      <x:c r="F9" s="55"/>
      <x:c r="G9" s="55"/>
      <x:c r="H9" s="16" t="str">
        <x:f>IF(C9="","",IF(S9="Выкуплен",E9*(F9-G9),0))</x:f>
      </x:c>
      <x:c r="I9" s="55"/>
      <x:c r="J9" s="16" t="str">
        <x:f>IF(C9="","",IF(S9="Выкуплен",E9*I9,IF(S9="Возврат",MAX(0,E9-U9)*I9,0)))</x:f>
      </x:c>
      <x:c r="K9" s="55"/>
      <x:c r="L9" s="55"/>
      <x:c r="M9" s="55"/>
      <x:c r="N9" s="55"/>
      <x:c r="O9" s="55"/>
      <x:c r="P9" s="16" t="str">
        <x:f>IF(C9="","",H9-J9-SUM(K9:O9))</x:f>
      </x:c>
      <x:c r="Q9" s="17" t="str">
        <x:f>IF(C9="","",IF(H9=0,"",P9/H9))</x:f>
      </x:c>
      <x:c r="R9" s="17" t="str">
        <x:f>IF(C9="","",IF(J9=0,"",(H9-J9)/J9))</x:f>
      </x:c>
      <x:c r="S9" s="51"/>
      <x:c r="T9" s="51"/>
      <x:c r="U9" s="51"/>
      <x:c r="V9" s="11" t="str">
        <x:f>IF(C9="","",IF(OR(S9="Выкуплен",S9="Возврат"),E9,0))</x:f>
      </x:c>
      <x:c r="W9" s="11" t="str">
        <x:f>IF(C9="","",IF(B9="",0,IF(COUNTIFS($B$5:B9,B9)=1,1,0)))</x:f>
      </x:c>
      <x:c r="X9" s="11" t="str">
        <x:f>IF(C9="","",IF(S9="Выкуплен",W9,0))</x:f>
      </x:c>
      <x:c r="Y9" s="11" t="str">
        <x:f>IF(C9="","",IF(S9="Отменён",W9,0))</x:f>
      </x:c>
      <x:c r="Z9" s="11" t="str">
        <x:f>IF(C9="","",IF(S9="Возврат",W9,0))</x:f>
      </x:c>
      <x:c r="AA9" s="11" t="str">
        <x:f>IF(C9="","",IF(S9="Выкуплен",E9,0))</x:f>
      </x:c>
    </x:row>
    <x:row r="10" ht="23" customHeight="1">
      <x:c r="A10" s="54"/>
      <x:c r="B10" s="51"/>
      <x:c r="C10" s="51"/>
      <x:c r="D10" s="11" t="str">
        <x:f>IF(C10="","",_xlfn.IFNA(INDEX(Products[Товар],MATCH(C10,Products[SKU],0)),"Нет SKU"))</x:f>
      </x:c>
      <x:c r="E10" s="51"/>
      <x:c r="F10" s="55"/>
      <x:c r="G10" s="55"/>
      <x:c r="H10" s="16" t="str">
        <x:f>IF(C10="","",IF(S10="Выкуплен",E10*(F10-G10),0))</x:f>
      </x:c>
      <x:c r="I10" s="55"/>
      <x:c r="J10" s="16" t="str">
        <x:f>IF(C10="","",IF(S10="Выкуплен",E10*I10,IF(S10="Возврат",MAX(0,E10-U10)*I10,0)))</x:f>
      </x:c>
      <x:c r="K10" s="55"/>
      <x:c r="L10" s="55"/>
      <x:c r="M10" s="55"/>
      <x:c r="N10" s="55"/>
      <x:c r="O10" s="55"/>
      <x:c r="P10" s="16" t="str">
        <x:f>IF(C10="","",H10-J10-SUM(K10:O10))</x:f>
      </x:c>
      <x:c r="Q10" s="17" t="str">
        <x:f>IF(C10="","",IF(H10=0,"",P10/H10))</x:f>
      </x:c>
      <x:c r="R10" s="17" t="str">
        <x:f>IF(C10="","",IF(J10=0,"",(H10-J10)/J10))</x:f>
      </x:c>
      <x:c r="S10" s="51"/>
      <x:c r="T10" s="51"/>
      <x:c r="U10" s="51"/>
      <x:c r="V10" s="11" t="str">
        <x:f>IF(C10="","",IF(OR(S10="Выкуплен",S10="Возврат"),E10,0))</x:f>
      </x:c>
      <x:c r="W10" s="11" t="str">
        <x:f>IF(C10="","",IF(B10="",0,IF(COUNTIFS($B$5:B10,B10)=1,1,0)))</x:f>
      </x:c>
      <x:c r="X10" s="11" t="str">
        <x:f>IF(C10="","",IF(S10="Выкуплен",W10,0))</x:f>
      </x:c>
      <x:c r="Y10" s="11" t="str">
        <x:f>IF(C10="","",IF(S10="Отменён",W10,0))</x:f>
      </x:c>
      <x:c r="Z10" s="11" t="str">
        <x:f>IF(C10="","",IF(S10="Возврат",W10,0))</x:f>
      </x:c>
      <x:c r="AA10" s="11" t="str">
        <x:f>IF(C10="","",IF(S10="Выкуплен",E10,0))</x:f>
      </x:c>
    </x:row>
    <x:row r="11" ht="23" customHeight="1">
      <x:c r="A11" s="54"/>
      <x:c r="B11" s="51"/>
      <x:c r="C11" s="51"/>
      <x:c r="D11" s="11" t="str">
        <x:f>IF(C11="","",_xlfn.IFNA(INDEX(Products[Товар],MATCH(C11,Products[SKU],0)),"Нет SKU"))</x:f>
      </x:c>
      <x:c r="E11" s="51"/>
      <x:c r="F11" s="55"/>
      <x:c r="G11" s="55"/>
      <x:c r="H11" s="16" t="str">
        <x:f>IF(C11="","",IF(S11="Выкуплен",E11*(F11-G11),0))</x:f>
      </x:c>
      <x:c r="I11" s="55"/>
      <x:c r="J11" s="16" t="str">
        <x:f>IF(C11="","",IF(S11="Выкуплен",E11*I11,IF(S11="Возврат",MAX(0,E11-U11)*I11,0)))</x:f>
      </x:c>
      <x:c r="K11" s="55"/>
      <x:c r="L11" s="55"/>
      <x:c r="M11" s="55"/>
      <x:c r="N11" s="55"/>
      <x:c r="O11" s="55"/>
      <x:c r="P11" s="16" t="str">
        <x:f>IF(C11="","",H11-J11-SUM(K11:O11))</x:f>
      </x:c>
      <x:c r="Q11" s="17" t="str">
        <x:f>IF(C11="","",IF(H11=0,"",P11/H11))</x:f>
      </x:c>
      <x:c r="R11" s="17" t="str">
        <x:f>IF(C11="","",IF(J11=0,"",(H11-J11)/J11))</x:f>
      </x:c>
      <x:c r="S11" s="51"/>
      <x:c r="T11" s="51"/>
      <x:c r="U11" s="51"/>
      <x:c r="V11" s="11" t="str">
        <x:f>IF(C11="","",IF(OR(S11="Выкуплен",S11="Возврат"),E11,0))</x:f>
      </x:c>
      <x:c r="W11" s="11" t="str">
        <x:f>IF(C11="","",IF(B11="",0,IF(COUNTIFS($B$5:B11,B11)=1,1,0)))</x:f>
      </x:c>
      <x:c r="X11" s="11" t="str">
        <x:f>IF(C11="","",IF(S11="Выкуплен",W11,0))</x:f>
      </x:c>
      <x:c r="Y11" s="11" t="str">
        <x:f>IF(C11="","",IF(S11="Отменён",W11,0))</x:f>
      </x:c>
      <x:c r="Z11" s="11" t="str">
        <x:f>IF(C11="","",IF(S11="Возврат",W11,0))</x:f>
      </x:c>
      <x:c r="AA11" s="11" t="str">
        <x:f>IF(C11="","",IF(S11="Выкуплен",E11,0))</x:f>
      </x:c>
    </x:row>
    <x:row r="12" ht="23" customHeight="1">
      <x:c r="A12" s="54"/>
      <x:c r="B12" s="51"/>
      <x:c r="C12" s="51"/>
      <x:c r="D12" s="11" t="str">
        <x:f>IF(C12="","",_xlfn.IFNA(INDEX(Products[Товар],MATCH(C12,Products[SKU],0)),"Нет SKU"))</x:f>
      </x:c>
      <x:c r="E12" s="51"/>
      <x:c r="F12" s="55"/>
      <x:c r="G12" s="55"/>
      <x:c r="H12" s="16" t="str">
        <x:f>IF(C12="","",IF(S12="Выкуплен",E12*(F12-G12),0))</x:f>
      </x:c>
      <x:c r="I12" s="55"/>
      <x:c r="J12" s="16" t="str">
        <x:f>IF(C12="","",IF(S12="Выкуплен",E12*I12,IF(S12="Возврат",MAX(0,E12-U12)*I12,0)))</x:f>
      </x:c>
      <x:c r="K12" s="55"/>
      <x:c r="L12" s="55"/>
      <x:c r="M12" s="55"/>
      <x:c r="N12" s="55"/>
      <x:c r="O12" s="55"/>
      <x:c r="P12" s="16" t="str">
        <x:f>IF(C12="","",H12-J12-SUM(K12:O12))</x:f>
      </x:c>
      <x:c r="Q12" s="17" t="str">
        <x:f>IF(C12="","",IF(H12=0,"",P12/H12))</x:f>
      </x:c>
      <x:c r="R12" s="17" t="str">
        <x:f>IF(C12="","",IF(J12=0,"",(H12-J12)/J12))</x:f>
      </x:c>
      <x:c r="S12" s="51"/>
      <x:c r="T12" s="51"/>
      <x:c r="U12" s="51"/>
      <x:c r="V12" s="11" t="str">
        <x:f>IF(C12="","",IF(OR(S12="Выкуплен",S12="Возврат"),E12,0))</x:f>
      </x:c>
      <x:c r="W12" s="11" t="str">
        <x:f>IF(C12="","",IF(B12="",0,IF(COUNTIFS($B$5:B12,B12)=1,1,0)))</x:f>
      </x:c>
      <x:c r="X12" s="11" t="str">
        <x:f>IF(C12="","",IF(S12="Выкуплен",W12,0))</x:f>
      </x:c>
      <x:c r="Y12" s="11" t="str">
        <x:f>IF(C12="","",IF(S12="Отменён",W12,0))</x:f>
      </x:c>
      <x:c r="Z12" s="11" t="str">
        <x:f>IF(C12="","",IF(S12="Возврат",W12,0))</x:f>
      </x:c>
      <x:c r="AA12" s="11" t="str">
        <x:f>IF(C12="","",IF(S12="Выкуплен",E12,0))</x:f>
      </x:c>
    </x:row>
    <x:row r="13" ht="23" customHeight="1">
      <x:c r="A13" s="54"/>
      <x:c r="B13" s="51"/>
      <x:c r="C13" s="51"/>
      <x:c r="D13" s="11" t="str">
        <x:f>IF(C13="","",_xlfn.IFNA(INDEX(Products[Товар],MATCH(C13,Products[SKU],0)),"Нет SKU"))</x:f>
      </x:c>
      <x:c r="E13" s="51"/>
      <x:c r="F13" s="55"/>
      <x:c r="G13" s="55"/>
      <x:c r="H13" s="16" t="str">
        <x:f>IF(C13="","",IF(S13="Выкуплен",E13*(F13-G13),0))</x:f>
      </x:c>
      <x:c r="I13" s="55"/>
      <x:c r="J13" s="16" t="str">
        <x:f>IF(C13="","",IF(S13="Выкуплен",E13*I13,IF(S13="Возврат",MAX(0,E13-U13)*I13,0)))</x:f>
      </x:c>
      <x:c r="K13" s="55"/>
      <x:c r="L13" s="55"/>
      <x:c r="M13" s="55"/>
      <x:c r="N13" s="55"/>
      <x:c r="O13" s="55"/>
      <x:c r="P13" s="16" t="str">
        <x:f>IF(C13="","",H13-J13-SUM(K13:O13))</x:f>
      </x:c>
      <x:c r="Q13" s="17" t="str">
        <x:f>IF(C13="","",IF(H13=0,"",P13/H13))</x:f>
      </x:c>
      <x:c r="R13" s="17" t="str">
        <x:f>IF(C13="","",IF(J13=0,"",(H13-J13)/J13))</x:f>
      </x:c>
      <x:c r="S13" s="51"/>
      <x:c r="T13" s="51"/>
      <x:c r="U13" s="51"/>
      <x:c r="V13" s="11" t="str">
        <x:f>IF(C13="","",IF(OR(S13="Выкуплен",S13="Возврат"),E13,0))</x:f>
      </x:c>
      <x:c r="W13" s="11" t="str">
        <x:f>IF(C13="","",IF(B13="",0,IF(COUNTIFS($B$5:B13,B13)=1,1,0)))</x:f>
      </x:c>
      <x:c r="X13" s="11" t="str">
        <x:f>IF(C13="","",IF(S13="Выкуплен",W13,0))</x:f>
      </x:c>
      <x:c r="Y13" s="11" t="str">
        <x:f>IF(C13="","",IF(S13="Отменён",W13,0))</x:f>
      </x:c>
      <x:c r="Z13" s="11" t="str">
        <x:f>IF(C13="","",IF(S13="Возврат",W13,0))</x:f>
      </x:c>
      <x:c r="AA13" s="11" t="str">
        <x:f>IF(C13="","",IF(S13="Выкуплен",E13,0))</x:f>
      </x:c>
    </x:row>
    <x:row r="14" ht="23" customHeight="1">
      <x:c r="A14" s="54"/>
      <x:c r="B14" s="51"/>
      <x:c r="C14" s="51"/>
      <x:c r="D14" s="11" t="str">
        <x:f>IF(C14="","",_xlfn.IFNA(INDEX(Products[Товар],MATCH(C14,Products[SKU],0)),"Нет SKU"))</x:f>
      </x:c>
      <x:c r="E14" s="51"/>
      <x:c r="F14" s="55"/>
      <x:c r="G14" s="55"/>
      <x:c r="H14" s="16" t="str">
        <x:f>IF(C14="","",IF(S14="Выкуплен",E14*(F14-G14),0))</x:f>
      </x:c>
      <x:c r="I14" s="55"/>
      <x:c r="J14" s="16" t="str">
        <x:f>IF(C14="","",IF(S14="Выкуплен",E14*I14,IF(S14="Возврат",MAX(0,E14-U14)*I14,0)))</x:f>
      </x:c>
      <x:c r="K14" s="55"/>
      <x:c r="L14" s="55"/>
      <x:c r="M14" s="55"/>
      <x:c r="N14" s="55"/>
      <x:c r="O14" s="55"/>
      <x:c r="P14" s="16" t="str">
        <x:f>IF(C14="","",H14-J14-SUM(K14:O14))</x:f>
      </x:c>
      <x:c r="Q14" s="17" t="str">
        <x:f>IF(C14="","",IF(H14=0,"",P14/H14))</x:f>
      </x:c>
      <x:c r="R14" s="17" t="str">
        <x:f>IF(C14="","",IF(J14=0,"",(H14-J14)/J14))</x:f>
      </x:c>
      <x:c r="S14" s="51"/>
      <x:c r="T14" s="51"/>
      <x:c r="U14" s="51"/>
      <x:c r="V14" s="11" t="str">
        <x:f>IF(C14="","",IF(OR(S14="Выкуплен",S14="Возврат"),E14,0))</x:f>
      </x:c>
      <x:c r="W14" s="11" t="str">
        <x:f>IF(C14="","",IF(B14="",0,IF(COUNTIFS($B$5:B14,B14)=1,1,0)))</x:f>
      </x:c>
      <x:c r="X14" s="11" t="str">
        <x:f>IF(C14="","",IF(S14="Выкуплен",W14,0))</x:f>
      </x:c>
      <x:c r="Y14" s="11" t="str">
        <x:f>IF(C14="","",IF(S14="Отменён",W14,0))</x:f>
      </x:c>
      <x:c r="Z14" s="11" t="str">
        <x:f>IF(C14="","",IF(S14="Возврат",W14,0))</x:f>
      </x:c>
      <x:c r="AA14" s="11" t="str">
        <x:f>IF(C14="","",IF(S14="Выкуплен",E14,0))</x:f>
      </x:c>
    </x:row>
    <x:row r="15" ht="23" customHeight="1">
      <x:c r="A15" s="54"/>
      <x:c r="B15" s="51"/>
      <x:c r="C15" s="51"/>
      <x:c r="D15" s="11" t="str">
        <x:f>IF(C15="","",_xlfn.IFNA(INDEX(Products[Товар],MATCH(C15,Products[SKU],0)),"Нет SKU"))</x:f>
      </x:c>
      <x:c r="E15" s="51"/>
      <x:c r="F15" s="55"/>
      <x:c r="G15" s="55"/>
      <x:c r="H15" s="16" t="str">
        <x:f>IF(C15="","",IF(S15="Выкуплен",E15*(F15-G15),0))</x:f>
      </x:c>
      <x:c r="I15" s="55"/>
      <x:c r="J15" s="16" t="str">
        <x:f>IF(C15="","",IF(S15="Выкуплен",E15*I15,IF(S15="Возврат",MAX(0,E15-U15)*I15,0)))</x:f>
      </x:c>
      <x:c r="K15" s="55"/>
      <x:c r="L15" s="55"/>
      <x:c r="M15" s="55"/>
      <x:c r="N15" s="55"/>
      <x:c r="O15" s="55"/>
      <x:c r="P15" s="16" t="str">
        <x:f>IF(C15="","",H15-J15-SUM(K15:O15))</x:f>
      </x:c>
      <x:c r="Q15" s="17" t="str">
        <x:f>IF(C15="","",IF(H15=0,"",P15/H15))</x:f>
      </x:c>
      <x:c r="R15" s="17" t="str">
        <x:f>IF(C15="","",IF(J15=0,"",(H15-J15)/J15))</x:f>
      </x:c>
      <x:c r="S15" s="51"/>
      <x:c r="T15" s="51"/>
      <x:c r="U15" s="51"/>
      <x:c r="V15" s="11" t="str">
        <x:f>IF(C15="","",IF(OR(S15="Выкуплен",S15="Возврат"),E15,0))</x:f>
      </x:c>
      <x:c r="W15" s="11" t="str">
        <x:f>IF(C15="","",IF(B15="",0,IF(COUNTIFS($B$5:B15,B15)=1,1,0)))</x:f>
      </x:c>
      <x:c r="X15" s="11" t="str">
        <x:f>IF(C15="","",IF(S15="Выкуплен",W15,0))</x:f>
      </x:c>
      <x:c r="Y15" s="11" t="str">
        <x:f>IF(C15="","",IF(S15="Отменён",W15,0))</x:f>
      </x:c>
      <x:c r="Z15" s="11" t="str">
        <x:f>IF(C15="","",IF(S15="Возврат",W15,0))</x:f>
      </x:c>
      <x:c r="AA15" s="11" t="str">
        <x:f>IF(C15="","",IF(S15="Выкуплен",E15,0))</x:f>
      </x:c>
    </x:row>
    <x:row r="16" ht="23" customHeight="1">
      <x:c r="A16" s="54"/>
      <x:c r="B16" s="51"/>
      <x:c r="C16" s="51"/>
      <x:c r="D16" s="11" t="str">
        <x:f>IF(C16="","",_xlfn.IFNA(INDEX(Products[Товар],MATCH(C16,Products[SKU],0)),"Нет SKU"))</x:f>
      </x:c>
      <x:c r="E16" s="51"/>
      <x:c r="F16" s="55"/>
      <x:c r="G16" s="55"/>
      <x:c r="H16" s="16" t="str">
        <x:f>IF(C16="","",IF(S16="Выкуплен",E16*(F16-G16),0))</x:f>
      </x:c>
      <x:c r="I16" s="55"/>
      <x:c r="J16" s="16" t="str">
        <x:f>IF(C16="","",IF(S16="Выкуплен",E16*I16,IF(S16="Возврат",MAX(0,E16-U16)*I16,0)))</x:f>
      </x:c>
      <x:c r="K16" s="55"/>
      <x:c r="L16" s="55"/>
      <x:c r="M16" s="55"/>
      <x:c r="N16" s="55"/>
      <x:c r="O16" s="55"/>
      <x:c r="P16" s="16" t="str">
        <x:f>IF(C16="","",H16-J16-SUM(K16:O16))</x:f>
      </x:c>
      <x:c r="Q16" s="17" t="str">
        <x:f>IF(C16="","",IF(H16=0,"",P16/H16))</x:f>
      </x:c>
      <x:c r="R16" s="17" t="str">
        <x:f>IF(C16="","",IF(J16=0,"",(H16-J16)/J16))</x:f>
      </x:c>
      <x:c r="S16" s="51"/>
      <x:c r="T16" s="51"/>
      <x:c r="U16" s="51"/>
      <x:c r="V16" s="11" t="str">
        <x:f>IF(C16="","",IF(OR(S16="Выкуплен",S16="Возврат"),E16,0))</x:f>
      </x:c>
      <x:c r="W16" s="11" t="str">
        <x:f>IF(C16="","",IF(B16="",0,IF(COUNTIFS($B$5:B16,B16)=1,1,0)))</x:f>
      </x:c>
      <x:c r="X16" s="11" t="str">
        <x:f>IF(C16="","",IF(S16="Выкуплен",W16,0))</x:f>
      </x:c>
      <x:c r="Y16" s="11" t="str">
        <x:f>IF(C16="","",IF(S16="Отменён",W16,0))</x:f>
      </x:c>
      <x:c r="Z16" s="11" t="str">
        <x:f>IF(C16="","",IF(S16="Возврат",W16,0))</x:f>
      </x:c>
      <x:c r="AA16" s="11" t="str">
        <x:f>IF(C16="","",IF(S16="Выкуплен",E16,0))</x:f>
      </x:c>
    </x:row>
    <x:row r="17" ht="23" customHeight="1">
      <x:c r="A17" s="54"/>
      <x:c r="B17" s="51"/>
      <x:c r="C17" s="51"/>
      <x:c r="D17" s="11" t="str">
        <x:f>IF(C17="","",_xlfn.IFNA(INDEX(Products[Товар],MATCH(C17,Products[SKU],0)),"Нет SKU"))</x:f>
      </x:c>
      <x:c r="E17" s="51"/>
      <x:c r="F17" s="55"/>
      <x:c r="G17" s="55"/>
      <x:c r="H17" s="16" t="str">
        <x:f>IF(C17="","",IF(S17="Выкуплен",E17*(F17-G17),0))</x:f>
      </x:c>
      <x:c r="I17" s="55"/>
      <x:c r="J17" s="16" t="str">
        <x:f>IF(C17="","",IF(S17="Выкуплен",E17*I17,IF(S17="Возврат",MAX(0,E17-U17)*I17,0)))</x:f>
      </x:c>
      <x:c r="K17" s="55"/>
      <x:c r="L17" s="55"/>
      <x:c r="M17" s="55"/>
      <x:c r="N17" s="55"/>
      <x:c r="O17" s="55"/>
      <x:c r="P17" s="16" t="str">
        <x:f>IF(C17="","",H17-J17-SUM(K17:O17))</x:f>
      </x:c>
      <x:c r="Q17" s="17" t="str">
        <x:f>IF(C17="","",IF(H17=0,"",P17/H17))</x:f>
      </x:c>
      <x:c r="R17" s="17" t="str">
        <x:f>IF(C17="","",IF(J17=0,"",(H17-J17)/J17))</x:f>
      </x:c>
      <x:c r="S17" s="51"/>
      <x:c r="T17" s="51"/>
      <x:c r="U17" s="51"/>
      <x:c r="V17" s="11" t="str">
        <x:f>IF(C17="","",IF(OR(S17="Выкуплен",S17="Возврат"),E17,0))</x:f>
      </x:c>
      <x:c r="W17" s="11" t="str">
        <x:f>IF(C17="","",IF(B17="",0,IF(COUNTIFS($B$5:B17,B17)=1,1,0)))</x:f>
      </x:c>
      <x:c r="X17" s="11" t="str">
        <x:f>IF(C17="","",IF(S17="Выкуплен",W17,0))</x:f>
      </x:c>
      <x:c r="Y17" s="11" t="str">
        <x:f>IF(C17="","",IF(S17="Отменён",W17,0))</x:f>
      </x:c>
      <x:c r="Z17" s="11" t="str">
        <x:f>IF(C17="","",IF(S17="Возврат",W17,0))</x:f>
      </x:c>
      <x:c r="AA17" s="11" t="str">
        <x:f>IF(C17="","",IF(S17="Выкуплен",E17,0))</x:f>
      </x:c>
    </x:row>
    <x:row r="18" ht="23" customHeight="1">
      <x:c r="A18" s="54"/>
      <x:c r="B18" s="51"/>
      <x:c r="C18" s="51"/>
      <x:c r="D18" s="11" t="str">
        <x:f>IF(C18="","",_xlfn.IFNA(INDEX(Products[Товар],MATCH(C18,Products[SKU],0)),"Нет SKU"))</x:f>
      </x:c>
      <x:c r="E18" s="51"/>
      <x:c r="F18" s="55"/>
      <x:c r="G18" s="55"/>
      <x:c r="H18" s="16" t="str">
        <x:f>IF(C18="","",IF(S18="Выкуплен",E18*(F18-G18),0))</x:f>
      </x:c>
      <x:c r="I18" s="55"/>
      <x:c r="J18" s="16" t="str">
        <x:f>IF(C18="","",IF(S18="Выкуплен",E18*I18,IF(S18="Возврат",MAX(0,E18-U18)*I18,0)))</x:f>
      </x:c>
      <x:c r="K18" s="55"/>
      <x:c r="L18" s="55"/>
      <x:c r="M18" s="55"/>
      <x:c r="N18" s="55"/>
      <x:c r="O18" s="55"/>
      <x:c r="P18" s="16" t="str">
        <x:f>IF(C18="","",H18-J18-SUM(K18:O18))</x:f>
      </x:c>
      <x:c r="Q18" s="17" t="str">
        <x:f>IF(C18="","",IF(H18=0,"",P18/H18))</x:f>
      </x:c>
      <x:c r="R18" s="17" t="str">
        <x:f>IF(C18="","",IF(J18=0,"",(H18-J18)/J18))</x:f>
      </x:c>
      <x:c r="S18" s="51"/>
      <x:c r="T18" s="51"/>
      <x:c r="U18" s="51"/>
      <x:c r="V18" s="11" t="str">
        <x:f>IF(C18="","",IF(OR(S18="Выкуплен",S18="Возврат"),E18,0))</x:f>
      </x:c>
      <x:c r="W18" s="11" t="str">
        <x:f>IF(C18="","",IF(B18="",0,IF(COUNTIFS($B$5:B18,B18)=1,1,0)))</x:f>
      </x:c>
      <x:c r="X18" s="11" t="str">
        <x:f>IF(C18="","",IF(S18="Выкуплен",W18,0))</x:f>
      </x:c>
      <x:c r="Y18" s="11" t="str">
        <x:f>IF(C18="","",IF(S18="Отменён",W18,0))</x:f>
      </x:c>
      <x:c r="Z18" s="11" t="str">
        <x:f>IF(C18="","",IF(S18="Возврат",W18,0))</x:f>
      </x:c>
      <x:c r="AA18" s="11" t="str">
        <x:f>IF(C18="","",IF(S18="Выкуплен",E18,0))</x:f>
      </x:c>
    </x:row>
    <x:row r="19" ht="23" customHeight="1">
      <x:c r="A19" s="54"/>
      <x:c r="B19" s="51"/>
      <x:c r="C19" s="51"/>
      <x:c r="D19" s="11" t="str">
        <x:f>IF(C19="","",_xlfn.IFNA(INDEX(Products[Товар],MATCH(C19,Products[SKU],0)),"Нет SKU"))</x:f>
      </x:c>
      <x:c r="E19" s="51"/>
      <x:c r="F19" s="55"/>
      <x:c r="G19" s="55"/>
      <x:c r="H19" s="16" t="str">
        <x:f>IF(C19="","",IF(S19="Выкуплен",E19*(F19-G19),0))</x:f>
      </x:c>
      <x:c r="I19" s="55"/>
      <x:c r="J19" s="16" t="str">
        <x:f>IF(C19="","",IF(S19="Выкуплен",E19*I19,IF(S19="Возврат",MAX(0,E19-U19)*I19,0)))</x:f>
      </x:c>
      <x:c r="K19" s="55"/>
      <x:c r="L19" s="55"/>
      <x:c r="M19" s="55"/>
      <x:c r="N19" s="55"/>
      <x:c r="O19" s="55"/>
      <x:c r="P19" s="16" t="str">
        <x:f>IF(C19="","",H19-J19-SUM(K19:O19))</x:f>
      </x:c>
      <x:c r="Q19" s="17" t="str">
        <x:f>IF(C19="","",IF(H19=0,"",P19/H19))</x:f>
      </x:c>
      <x:c r="R19" s="17" t="str">
        <x:f>IF(C19="","",IF(J19=0,"",(H19-J19)/J19))</x:f>
      </x:c>
      <x:c r="S19" s="51"/>
      <x:c r="T19" s="51"/>
      <x:c r="U19" s="51"/>
      <x:c r="V19" s="11" t="str">
        <x:f>IF(C19="","",IF(OR(S19="Выкуплен",S19="Возврат"),E19,0))</x:f>
      </x:c>
      <x:c r="W19" s="11" t="str">
        <x:f>IF(C19="","",IF(B19="",0,IF(COUNTIFS($B$5:B19,B19)=1,1,0)))</x:f>
      </x:c>
      <x:c r="X19" s="11" t="str">
        <x:f>IF(C19="","",IF(S19="Выкуплен",W19,0))</x:f>
      </x:c>
      <x:c r="Y19" s="11" t="str">
        <x:f>IF(C19="","",IF(S19="Отменён",W19,0))</x:f>
      </x:c>
      <x:c r="Z19" s="11" t="str">
        <x:f>IF(C19="","",IF(S19="Возврат",W19,0))</x:f>
      </x:c>
      <x:c r="AA19" s="11" t="str">
        <x:f>IF(C19="","",IF(S19="Выкуплен",E19,0))</x:f>
      </x:c>
    </x:row>
    <x:row r="20" ht="23" customHeight="1">
      <x:c r="A20" s="54"/>
      <x:c r="B20" s="51"/>
      <x:c r="C20" s="51"/>
      <x:c r="D20" s="11" t="str">
        <x:f>IF(C20="","",_xlfn.IFNA(INDEX(Products[Товар],MATCH(C20,Products[SKU],0)),"Нет SKU"))</x:f>
      </x:c>
      <x:c r="E20" s="51"/>
      <x:c r="F20" s="55"/>
      <x:c r="G20" s="55"/>
      <x:c r="H20" s="16" t="str">
        <x:f>IF(C20="","",IF(S20="Выкуплен",E20*(F20-G20),0))</x:f>
      </x:c>
      <x:c r="I20" s="55"/>
      <x:c r="J20" s="16" t="str">
        <x:f>IF(C20="","",IF(S20="Выкуплен",E20*I20,IF(S20="Возврат",MAX(0,E20-U20)*I20,0)))</x:f>
      </x:c>
      <x:c r="K20" s="55"/>
      <x:c r="L20" s="55"/>
      <x:c r="M20" s="55"/>
      <x:c r="N20" s="55"/>
      <x:c r="O20" s="55"/>
      <x:c r="P20" s="16" t="str">
        <x:f>IF(C20="","",H20-J20-SUM(K20:O20))</x:f>
      </x:c>
      <x:c r="Q20" s="17" t="str">
        <x:f>IF(C20="","",IF(H20=0,"",P20/H20))</x:f>
      </x:c>
      <x:c r="R20" s="17" t="str">
        <x:f>IF(C20="","",IF(J20=0,"",(H20-J20)/J20))</x:f>
      </x:c>
      <x:c r="S20" s="51"/>
      <x:c r="T20" s="51"/>
      <x:c r="U20" s="51"/>
      <x:c r="V20" s="11" t="str">
        <x:f>IF(C20="","",IF(OR(S20="Выкуплен",S20="Возврат"),E20,0))</x:f>
      </x:c>
      <x:c r="W20" s="11" t="str">
        <x:f>IF(C20="","",IF(B20="",0,IF(COUNTIFS($B$5:B20,B20)=1,1,0)))</x:f>
      </x:c>
      <x:c r="X20" s="11" t="str">
        <x:f>IF(C20="","",IF(S20="Выкуплен",W20,0))</x:f>
      </x:c>
      <x:c r="Y20" s="11" t="str">
        <x:f>IF(C20="","",IF(S20="Отменён",W20,0))</x:f>
      </x:c>
      <x:c r="Z20" s="11" t="str">
        <x:f>IF(C20="","",IF(S20="Возврат",W20,0))</x:f>
      </x:c>
      <x:c r="AA20" s="11" t="str">
        <x:f>IF(C20="","",IF(S20="Выкуплен",E20,0))</x:f>
      </x:c>
    </x:row>
    <x:row r="21" ht="23" customHeight="1">
      <x:c r="A21" s="54"/>
      <x:c r="B21" s="51"/>
      <x:c r="C21" s="51"/>
      <x:c r="D21" s="11" t="str">
        <x:f>IF(C21="","",_xlfn.IFNA(INDEX(Products[Товар],MATCH(C21,Products[SKU],0)),"Нет SKU"))</x:f>
      </x:c>
      <x:c r="E21" s="51"/>
      <x:c r="F21" s="55"/>
      <x:c r="G21" s="55"/>
      <x:c r="H21" s="16" t="str">
        <x:f>IF(C21="","",IF(S21="Выкуплен",E21*(F21-G21),0))</x:f>
      </x:c>
      <x:c r="I21" s="55"/>
      <x:c r="J21" s="16" t="str">
        <x:f>IF(C21="","",IF(S21="Выкуплен",E21*I21,IF(S21="Возврат",MAX(0,E21-U21)*I21,0)))</x:f>
      </x:c>
      <x:c r="K21" s="55"/>
      <x:c r="L21" s="55"/>
      <x:c r="M21" s="55"/>
      <x:c r="N21" s="55"/>
      <x:c r="O21" s="55"/>
      <x:c r="P21" s="16" t="str">
        <x:f>IF(C21="","",H21-J21-SUM(K21:O21))</x:f>
      </x:c>
      <x:c r="Q21" s="17" t="str">
        <x:f>IF(C21="","",IF(H21=0,"",P21/H21))</x:f>
      </x:c>
      <x:c r="R21" s="17" t="str">
        <x:f>IF(C21="","",IF(J21=0,"",(H21-J21)/J21))</x:f>
      </x:c>
      <x:c r="S21" s="51"/>
      <x:c r="T21" s="51"/>
      <x:c r="U21" s="51"/>
      <x:c r="V21" s="11" t="str">
        <x:f>IF(C21="","",IF(OR(S21="Выкуплен",S21="Возврат"),E21,0))</x:f>
      </x:c>
      <x:c r="W21" s="11" t="str">
        <x:f>IF(C21="","",IF(B21="",0,IF(COUNTIFS($B$5:B21,B21)=1,1,0)))</x:f>
      </x:c>
      <x:c r="X21" s="11" t="str">
        <x:f>IF(C21="","",IF(S21="Выкуплен",W21,0))</x:f>
      </x:c>
      <x:c r="Y21" s="11" t="str">
        <x:f>IF(C21="","",IF(S21="Отменён",W21,0))</x:f>
      </x:c>
      <x:c r="Z21" s="11" t="str">
        <x:f>IF(C21="","",IF(S21="Возврат",W21,0))</x:f>
      </x:c>
      <x:c r="AA21" s="11" t="str">
        <x:f>IF(C21="","",IF(S21="Выкуплен",E21,0))</x:f>
      </x:c>
    </x:row>
    <x:row r="22" ht="23" customHeight="1">
      <x:c r="A22" s="54"/>
      <x:c r="B22" s="51"/>
      <x:c r="C22" s="51"/>
      <x:c r="D22" s="11" t="str">
        <x:f>IF(C22="","",_xlfn.IFNA(INDEX(Products[Товар],MATCH(C22,Products[SKU],0)),"Нет SKU"))</x:f>
      </x:c>
      <x:c r="E22" s="51"/>
      <x:c r="F22" s="55"/>
      <x:c r="G22" s="55"/>
      <x:c r="H22" s="16" t="str">
        <x:f>IF(C22="","",IF(S22="Выкуплен",E22*(F22-G22),0))</x:f>
      </x:c>
      <x:c r="I22" s="55"/>
      <x:c r="J22" s="16" t="str">
        <x:f>IF(C22="","",IF(S22="Выкуплен",E22*I22,IF(S22="Возврат",MAX(0,E22-U22)*I22,0)))</x:f>
      </x:c>
      <x:c r="K22" s="55"/>
      <x:c r="L22" s="55"/>
      <x:c r="M22" s="55"/>
      <x:c r="N22" s="55"/>
      <x:c r="O22" s="55"/>
      <x:c r="P22" s="16" t="str">
        <x:f>IF(C22="","",H22-J22-SUM(K22:O22))</x:f>
      </x:c>
      <x:c r="Q22" s="17" t="str">
        <x:f>IF(C22="","",IF(H22=0,"",P22/H22))</x:f>
      </x:c>
      <x:c r="R22" s="17" t="str">
        <x:f>IF(C22="","",IF(J22=0,"",(H22-J22)/J22))</x:f>
      </x:c>
      <x:c r="S22" s="51"/>
      <x:c r="T22" s="51"/>
      <x:c r="U22" s="51"/>
      <x:c r="V22" s="11" t="str">
        <x:f>IF(C22="","",IF(OR(S22="Выкуплен",S22="Возврат"),E22,0))</x:f>
      </x:c>
      <x:c r="W22" s="11" t="str">
        <x:f>IF(C22="","",IF(B22="",0,IF(COUNTIFS($B$5:B22,B22)=1,1,0)))</x:f>
      </x:c>
      <x:c r="X22" s="11" t="str">
        <x:f>IF(C22="","",IF(S22="Выкуплен",W22,0))</x:f>
      </x:c>
      <x:c r="Y22" s="11" t="str">
        <x:f>IF(C22="","",IF(S22="Отменён",W22,0))</x:f>
      </x:c>
      <x:c r="Z22" s="11" t="str">
        <x:f>IF(C22="","",IF(S22="Возврат",W22,0))</x:f>
      </x:c>
      <x:c r="AA22" s="11" t="str">
        <x:f>IF(C22="","",IF(S22="Выкуплен",E22,0))</x:f>
      </x:c>
    </x:row>
    <x:row r="23" ht="23" customHeight="1">
      <x:c r="A23" s="54"/>
      <x:c r="B23" s="51"/>
      <x:c r="C23" s="51"/>
      <x:c r="D23" s="11" t="str">
        <x:f>IF(C23="","",_xlfn.IFNA(INDEX(Products[Товар],MATCH(C23,Products[SKU],0)),"Нет SKU"))</x:f>
      </x:c>
      <x:c r="E23" s="51"/>
      <x:c r="F23" s="55"/>
      <x:c r="G23" s="55"/>
      <x:c r="H23" s="16" t="str">
        <x:f>IF(C23="","",IF(S23="Выкуплен",E23*(F23-G23),0))</x:f>
      </x:c>
      <x:c r="I23" s="55"/>
      <x:c r="J23" s="16" t="str">
        <x:f>IF(C23="","",IF(S23="Выкуплен",E23*I23,IF(S23="Возврат",MAX(0,E23-U23)*I23,0)))</x:f>
      </x:c>
      <x:c r="K23" s="55"/>
      <x:c r="L23" s="55"/>
      <x:c r="M23" s="55"/>
      <x:c r="N23" s="55"/>
      <x:c r="O23" s="55"/>
      <x:c r="P23" s="16" t="str">
        <x:f>IF(C23="","",H23-J23-SUM(K23:O23))</x:f>
      </x:c>
      <x:c r="Q23" s="17" t="str">
        <x:f>IF(C23="","",IF(H23=0,"",P23/H23))</x:f>
      </x:c>
      <x:c r="R23" s="17" t="str">
        <x:f>IF(C23="","",IF(J23=0,"",(H23-J23)/J23))</x:f>
      </x:c>
      <x:c r="S23" s="51"/>
      <x:c r="T23" s="51"/>
      <x:c r="U23" s="51"/>
      <x:c r="V23" s="11" t="str">
        <x:f>IF(C23="","",IF(OR(S23="Выкуплен",S23="Возврат"),E23,0))</x:f>
      </x:c>
      <x:c r="W23" s="11" t="str">
        <x:f>IF(C23="","",IF(B23="",0,IF(COUNTIFS($B$5:B23,B23)=1,1,0)))</x:f>
      </x:c>
      <x:c r="X23" s="11" t="str">
        <x:f>IF(C23="","",IF(S23="Выкуплен",W23,0))</x:f>
      </x:c>
      <x:c r="Y23" s="11" t="str">
        <x:f>IF(C23="","",IF(S23="Отменён",W23,0))</x:f>
      </x:c>
      <x:c r="Z23" s="11" t="str">
        <x:f>IF(C23="","",IF(S23="Возврат",W23,0))</x:f>
      </x:c>
      <x:c r="AA23" s="11" t="str">
        <x:f>IF(C23="","",IF(S23="Выкуплен",E23,0))</x:f>
      </x:c>
    </x:row>
    <x:row r="24" ht="23" customHeight="1">
      <x:c r="A24" s="54"/>
      <x:c r="B24" s="51"/>
      <x:c r="C24" s="51"/>
      <x:c r="D24" s="11" t="str">
        <x:f>IF(C24="","",_xlfn.IFNA(INDEX(Products[Товар],MATCH(C24,Products[SKU],0)),"Нет SKU"))</x:f>
      </x:c>
      <x:c r="E24" s="51"/>
      <x:c r="F24" s="55"/>
      <x:c r="G24" s="55"/>
      <x:c r="H24" s="16" t="str">
        <x:f>IF(C24="","",IF(S24="Выкуплен",E24*(F24-G24),0))</x:f>
      </x:c>
      <x:c r="I24" s="55"/>
      <x:c r="J24" s="16" t="str">
        <x:f>IF(C24="","",IF(S24="Выкуплен",E24*I24,IF(S24="Возврат",MAX(0,E24-U24)*I24,0)))</x:f>
      </x:c>
      <x:c r="K24" s="55"/>
      <x:c r="L24" s="55"/>
      <x:c r="M24" s="55"/>
      <x:c r="N24" s="55"/>
      <x:c r="O24" s="55"/>
      <x:c r="P24" s="16" t="str">
        <x:f>IF(C24="","",H24-J24-SUM(K24:O24))</x:f>
      </x:c>
      <x:c r="Q24" s="17" t="str">
        <x:f>IF(C24="","",IF(H24=0,"",P24/H24))</x:f>
      </x:c>
      <x:c r="R24" s="17" t="str">
        <x:f>IF(C24="","",IF(J24=0,"",(H24-J24)/J24))</x:f>
      </x:c>
      <x:c r="S24" s="51"/>
      <x:c r="T24" s="51"/>
      <x:c r="U24" s="51"/>
      <x:c r="V24" s="11" t="str">
        <x:f>IF(C24="","",IF(OR(S24="Выкуплен",S24="Возврат"),E24,0))</x:f>
      </x:c>
      <x:c r="W24" s="11" t="str">
        <x:f>IF(C24="","",IF(B24="",0,IF(COUNTIFS($B$5:B24,B24)=1,1,0)))</x:f>
      </x:c>
      <x:c r="X24" s="11" t="str">
        <x:f>IF(C24="","",IF(S24="Выкуплен",W24,0))</x:f>
      </x:c>
      <x:c r="Y24" s="11" t="str">
        <x:f>IF(C24="","",IF(S24="Отменён",W24,0))</x:f>
      </x:c>
      <x:c r="Z24" s="11" t="str">
        <x:f>IF(C24="","",IF(S24="Возврат",W24,0))</x:f>
      </x:c>
      <x:c r="AA24" s="11" t="str">
        <x:f>IF(C24="","",IF(S24="Выкуплен",E24,0))</x:f>
      </x:c>
    </x:row>
    <x:row r="25" ht="23" customHeight="1">
      <x:c r="A25" s="54"/>
      <x:c r="B25" s="51"/>
      <x:c r="C25" s="51"/>
      <x:c r="D25" s="11" t="str">
        <x:f>IF(C25="","",_xlfn.IFNA(INDEX(Products[Товар],MATCH(C25,Products[SKU],0)),"Нет SKU"))</x:f>
      </x:c>
      <x:c r="E25" s="51"/>
      <x:c r="F25" s="55"/>
      <x:c r="G25" s="55"/>
      <x:c r="H25" s="16" t="str">
        <x:f>IF(C25="","",IF(S25="Выкуплен",E25*(F25-G25),0))</x:f>
      </x:c>
      <x:c r="I25" s="55"/>
      <x:c r="J25" s="16" t="str">
        <x:f>IF(C25="","",IF(S25="Выкуплен",E25*I25,IF(S25="Возврат",MAX(0,E25-U25)*I25,0)))</x:f>
      </x:c>
      <x:c r="K25" s="55"/>
      <x:c r="L25" s="55"/>
      <x:c r="M25" s="55"/>
      <x:c r="N25" s="55"/>
      <x:c r="O25" s="55"/>
      <x:c r="P25" s="16" t="str">
        <x:f>IF(C25="","",H25-J25-SUM(K25:O25))</x:f>
      </x:c>
      <x:c r="Q25" s="17" t="str">
        <x:f>IF(C25="","",IF(H25=0,"",P25/H25))</x:f>
      </x:c>
      <x:c r="R25" s="17" t="str">
        <x:f>IF(C25="","",IF(J25=0,"",(H25-J25)/J25))</x:f>
      </x:c>
      <x:c r="S25" s="51"/>
      <x:c r="T25" s="51"/>
      <x:c r="U25" s="51"/>
      <x:c r="V25" s="11" t="str">
        <x:f>IF(C25="","",IF(OR(S25="Выкуплен",S25="Возврат"),E25,0))</x:f>
      </x:c>
      <x:c r="W25" s="11" t="str">
        <x:f>IF(C25="","",IF(B25="",0,IF(COUNTIFS($B$5:B25,B25)=1,1,0)))</x:f>
      </x:c>
      <x:c r="X25" s="11" t="str">
        <x:f>IF(C25="","",IF(S25="Выкуплен",W25,0))</x:f>
      </x:c>
      <x:c r="Y25" s="11" t="str">
        <x:f>IF(C25="","",IF(S25="Отменён",W25,0))</x:f>
      </x:c>
      <x:c r="Z25" s="11" t="str">
        <x:f>IF(C25="","",IF(S25="Возврат",W25,0))</x:f>
      </x:c>
      <x:c r="AA25" s="11" t="str">
        <x:f>IF(C25="","",IF(S25="Выкуплен",E25,0))</x:f>
      </x:c>
    </x:row>
    <x:row r="26" ht="23" customHeight="1">
      <x:c r="A26" s="54"/>
      <x:c r="B26" s="51"/>
      <x:c r="C26" s="51"/>
      <x:c r="D26" s="11" t="str">
        <x:f>IF(C26="","",_xlfn.IFNA(INDEX(Products[Товар],MATCH(C26,Products[SKU],0)),"Нет SKU"))</x:f>
      </x:c>
      <x:c r="E26" s="51"/>
      <x:c r="F26" s="55"/>
      <x:c r="G26" s="55"/>
      <x:c r="H26" s="16" t="str">
        <x:f>IF(C26="","",IF(S26="Выкуплен",E26*(F26-G26),0))</x:f>
      </x:c>
      <x:c r="I26" s="55"/>
      <x:c r="J26" s="16" t="str">
        <x:f>IF(C26="","",IF(S26="Выкуплен",E26*I26,IF(S26="Возврат",MAX(0,E26-U26)*I26,0)))</x:f>
      </x:c>
      <x:c r="K26" s="55"/>
      <x:c r="L26" s="55"/>
      <x:c r="M26" s="55"/>
      <x:c r="N26" s="55"/>
      <x:c r="O26" s="55"/>
      <x:c r="P26" s="16" t="str">
        <x:f>IF(C26="","",H26-J26-SUM(K26:O26))</x:f>
      </x:c>
      <x:c r="Q26" s="17" t="str">
        <x:f>IF(C26="","",IF(H26=0,"",P26/H26))</x:f>
      </x:c>
      <x:c r="R26" s="17" t="str">
        <x:f>IF(C26="","",IF(J26=0,"",(H26-J26)/J26))</x:f>
      </x:c>
      <x:c r="S26" s="51"/>
      <x:c r="T26" s="51"/>
      <x:c r="U26" s="51"/>
      <x:c r="V26" s="11" t="str">
        <x:f>IF(C26="","",IF(OR(S26="Выкуплен",S26="Возврат"),E26,0))</x:f>
      </x:c>
      <x:c r="W26" s="11" t="str">
        <x:f>IF(C26="","",IF(B26="",0,IF(COUNTIFS($B$5:B26,B26)=1,1,0)))</x:f>
      </x:c>
      <x:c r="X26" s="11" t="str">
        <x:f>IF(C26="","",IF(S26="Выкуплен",W26,0))</x:f>
      </x:c>
      <x:c r="Y26" s="11" t="str">
        <x:f>IF(C26="","",IF(S26="Отменён",W26,0))</x:f>
      </x:c>
      <x:c r="Z26" s="11" t="str">
        <x:f>IF(C26="","",IF(S26="Возврат",W26,0))</x:f>
      </x:c>
      <x:c r="AA26" s="11" t="str">
        <x:f>IF(C26="","",IF(S26="Выкуплен",E26,0))</x:f>
      </x:c>
    </x:row>
    <x:row r="27" ht="23" customHeight="1">
      <x:c r="A27" s="54"/>
      <x:c r="B27" s="51"/>
      <x:c r="C27" s="51"/>
      <x:c r="D27" s="11" t="str">
        <x:f>IF(C27="","",_xlfn.IFNA(INDEX(Products[Товар],MATCH(C27,Products[SKU],0)),"Нет SKU"))</x:f>
      </x:c>
      <x:c r="E27" s="51"/>
      <x:c r="F27" s="55"/>
      <x:c r="G27" s="55"/>
      <x:c r="H27" s="16" t="str">
        <x:f>IF(C27="","",IF(S27="Выкуплен",E27*(F27-G27),0))</x:f>
      </x:c>
      <x:c r="I27" s="55"/>
      <x:c r="J27" s="16" t="str">
        <x:f>IF(C27="","",IF(S27="Выкуплен",E27*I27,IF(S27="Возврат",MAX(0,E27-U27)*I27,0)))</x:f>
      </x:c>
      <x:c r="K27" s="55"/>
      <x:c r="L27" s="55"/>
      <x:c r="M27" s="55"/>
      <x:c r="N27" s="55"/>
      <x:c r="O27" s="55"/>
      <x:c r="P27" s="16" t="str">
        <x:f>IF(C27="","",H27-J27-SUM(K27:O27))</x:f>
      </x:c>
      <x:c r="Q27" s="17" t="str">
        <x:f>IF(C27="","",IF(H27=0,"",P27/H27))</x:f>
      </x:c>
      <x:c r="R27" s="17" t="str">
        <x:f>IF(C27="","",IF(J27=0,"",(H27-J27)/J27))</x:f>
      </x:c>
      <x:c r="S27" s="51"/>
      <x:c r="T27" s="51"/>
      <x:c r="U27" s="51"/>
      <x:c r="V27" s="11" t="str">
        <x:f>IF(C27="","",IF(OR(S27="Выкуплен",S27="Возврат"),E27,0))</x:f>
      </x:c>
      <x:c r="W27" s="11" t="str">
        <x:f>IF(C27="","",IF(B27="",0,IF(COUNTIFS($B$5:B27,B27)=1,1,0)))</x:f>
      </x:c>
      <x:c r="X27" s="11" t="str">
        <x:f>IF(C27="","",IF(S27="Выкуплен",W27,0))</x:f>
      </x:c>
      <x:c r="Y27" s="11" t="str">
        <x:f>IF(C27="","",IF(S27="Отменён",W27,0))</x:f>
      </x:c>
      <x:c r="Z27" s="11" t="str">
        <x:f>IF(C27="","",IF(S27="Возврат",W27,0))</x:f>
      </x:c>
      <x:c r="AA27" s="11" t="str">
        <x:f>IF(C27="","",IF(S27="Выкуплен",E27,0))</x:f>
      </x:c>
    </x:row>
    <x:row r="28" ht="23" customHeight="1">
      <x:c r="A28" s="54"/>
      <x:c r="B28" s="51"/>
      <x:c r="C28" s="51"/>
      <x:c r="D28" s="11" t="str">
        <x:f>IF(C28="","",_xlfn.IFNA(INDEX(Products[Товар],MATCH(C28,Products[SKU],0)),"Нет SKU"))</x:f>
      </x:c>
      <x:c r="E28" s="51"/>
      <x:c r="F28" s="55"/>
      <x:c r="G28" s="55"/>
      <x:c r="H28" s="16" t="str">
        <x:f>IF(C28="","",IF(S28="Выкуплен",E28*(F28-G28),0))</x:f>
      </x:c>
      <x:c r="I28" s="55"/>
      <x:c r="J28" s="16" t="str">
        <x:f>IF(C28="","",IF(S28="Выкуплен",E28*I28,IF(S28="Возврат",MAX(0,E28-U28)*I28,0)))</x:f>
      </x:c>
      <x:c r="K28" s="55"/>
      <x:c r="L28" s="55"/>
      <x:c r="M28" s="55"/>
      <x:c r="N28" s="55"/>
      <x:c r="O28" s="55"/>
      <x:c r="P28" s="16" t="str">
        <x:f>IF(C28="","",H28-J28-SUM(K28:O28))</x:f>
      </x:c>
      <x:c r="Q28" s="17" t="str">
        <x:f>IF(C28="","",IF(H28=0,"",P28/H28))</x:f>
      </x:c>
      <x:c r="R28" s="17" t="str">
        <x:f>IF(C28="","",IF(J28=0,"",(H28-J28)/J28))</x:f>
      </x:c>
      <x:c r="S28" s="51"/>
      <x:c r="T28" s="51"/>
      <x:c r="U28" s="51"/>
      <x:c r="V28" s="11" t="str">
        <x:f>IF(C28="","",IF(OR(S28="Выкуплен",S28="Возврат"),E28,0))</x:f>
      </x:c>
      <x:c r="W28" s="11" t="str">
        <x:f>IF(C28="","",IF(B28="",0,IF(COUNTIFS($B$5:B28,B28)=1,1,0)))</x:f>
      </x:c>
      <x:c r="X28" s="11" t="str">
        <x:f>IF(C28="","",IF(S28="Выкуплен",W28,0))</x:f>
      </x:c>
      <x:c r="Y28" s="11" t="str">
        <x:f>IF(C28="","",IF(S28="Отменён",W28,0))</x:f>
      </x:c>
      <x:c r="Z28" s="11" t="str">
        <x:f>IF(C28="","",IF(S28="Возврат",W28,0))</x:f>
      </x:c>
      <x:c r="AA28" s="11" t="str">
        <x:f>IF(C28="","",IF(S28="Выкуплен",E28,0))</x:f>
      </x:c>
    </x:row>
    <x:row r="29" ht="23" customHeight="1">
      <x:c r="A29" s="54"/>
      <x:c r="B29" s="51"/>
      <x:c r="C29" s="51"/>
      <x:c r="D29" s="11" t="str">
        <x:f>IF(C29="","",_xlfn.IFNA(INDEX(Products[Товар],MATCH(C29,Products[SKU],0)),"Нет SKU"))</x:f>
      </x:c>
      <x:c r="E29" s="51"/>
      <x:c r="F29" s="55"/>
      <x:c r="G29" s="55"/>
      <x:c r="H29" s="16" t="str">
        <x:f>IF(C29="","",IF(S29="Выкуплен",E29*(F29-G29),0))</x:f>
      </x:c>
      <x:c r="I29" s="55"/>
      <x:c r="J29" s="16" t="str">
        <x:f>IF(C29="","",IF(S29="Выкуплен",E29*I29,IF(S29="Возврат",MAX(0,E29-U29)*I29,0)))</x:f>
      </x:c>
      <x:c r="K29" s="55"/>
      <x:c r="L29" s="55"/>
      <x:c r="M29" s="55"/>
      <x:c r="N29" s="55"/>
      <x:c r="O29" s="55"/>
      <x:c r="P29" s="16" t="str">
        <x:f>IF(C29="","",H29-J29-SUM(K29:O29))</x:f>
      </x:c>
      <x:c r="Q29" s="17" t="str">
        <x:f>IF(C29="","",IF(H29=0,"",P29/H29))</x:f>
      </x:c>
      <x:c r="R29" s="17" t="str">
        <x:f>IF(C29="","",IF(J29=0,"",(H29-J29)/J29))</x:f>
      </x:c>
      <x:c r="S29" s="51"/>
      <x:c r="T29" s="51"/>
      <x:c r="U29" s="51"/>
      <x:c r="V29" s="11" t="str">
        <x:f>IF(C29="","",IF(OR(S29="Выкуплен",S29="Возврат"),E29,0))</x:f>
      </x:c>
      <x:c r="W29" s="11" t="str">
        <x:f>IF(C29="","",IF(B29="",0,IF(COUNTIFS($B$5:B29,B29)=1,1,0)))</x:f>
      </x:c>
      <x:c r="X29" s="11" t="str">
        <x:f>IF(C29="","",IF(S29="Выкуплен",W29,0))</x:f>
      </x:c>
      <x:c r="Y29" s="11" t="str">
        <x:f>IF(C29="","",IF(S29="Отменён",W29,0))</x:f>
      </x:c>
      <x:c r="Z29" s="11" t="str">
        <x:f>IF(C29="","",IF(S29="Возврат",W29,0))</x:f>
      </x:c>
      <x:c r="AA29" s="11" t="str">
        <x:f>IF(C29="","",IF(S29="Выкуплен",E29,0))</x:f>
      </x:c>
    </x:row>
    <x:row r="30" ht="23" customHeight="1">
      <x:c r="A30" s="54"/>
      <x:c r="B30" s="51"/>
      <x:c r="C30" s="51"/>
      <x:c r="D30" s="11" t="str">
        <x:f>IF(C30="","",_xlfn.IFNA(INDEX(Products[Товар],MATCH(C30,Products[SKU],0)),"Нет SKU"))</x:f>
      </x:c>
      <x:c r="E30" s="51"/>
      <x:c r="F30" s="55"/>
      <x:c r="G30" s="55"/>
      <x:c r="H30" s="16" t="str">
        <x:f>IF(C30="","",IF(S30="Выкуплен",E30*(F30-G30),0))</x:f>
      </x:c>
      <x:c r="I30" s="55"/>
      <x:c r="J30" s="16" t="str">
        <x:f>IF(C30="","",IF(S30="Выкуплен",E30*I30,IF(S30="Возврат",MAX(0,E30-U30)*I30,0)))</x:f>
      </x:c>
      <x:c r="K30" s="55"/>
      <x:c r="L30" s="55"/>
      <x:c r="M30" s="55"/>
      <x:c r="N30" s="55"/>
      <x:c r="O30" s="55"/>
      <x:c r="P30" s="16" t="str">
        <x:f>IF(C30="","",H30-J30-SUM(K30:O30))</x:f>
      </x:c>
      <x:c r="Q30" s="17" t="str">
        <x:f>IF(C30="","",IF(H30=0,"",P30/H30))</x:f>
      </x:c>
      <x:c r="R30" s="17" t="str">
        <x:f>IF(C30="","",IF(J30=0,"",(H30-J30)/J30))</x:f>
      </x:c>
      <x:c r="S30" s="51"/>
      <x:c r="T30" s="51"/>
      <x:c r="U30" s="51"/>
      <x:c r="V30" s="11" t="str">
        <x:f>IF(C30="","",IF(OR(S30="Выкуплен",S30="Возврат"),E30,0))</x:f>
      </x:c>
      <x:c r="W30" s="11" t="str">
        <x:f>IF(C30="","",IF(B30="",0,IF(COUNTIFS($B$5:B30,B30)=1,1,0)))</x:f>
      </x:c>
      <x:c r="X30" s="11" t="str">
        <x:f>IF(C30="","",IF(S30="Выкуплен",W30,0))</x:f>
      </x:c>
      <x:c r="Y30" s="11" t="str">
        <x:f>IF(C30="","",IF(S30="Отменён",W30,0))</x:f>
      </x:c>
      <x:c r="Z30" s="11" t="str">
        <x:f>IF(C30="","",IF(S30="Возврат",W30,0))</x:f>
      </x:c>
      <x:c r="AA30" s="11" t="str">
        <x:f>IF(C30="","",IF(S30="Выкуплен",E30,0))</x:f>
      </x:c>
    </x:row>
    <x:row r="31" ht="23" customHeight="1">
      <x:c r="A31" s="54"/>
      <x:c r="B31" s="51"/>
      <x:c r="C31" s="51"/>
      <x:c r="D31" s="11" t="str">
        <x:f>IF(C31="","",_xlfn.IFNA(INDEX(Products[Товар],MATCH(C31,Products[SKU],0)),"Нет SKU"))</x:f>
      </x:c>
      <x:c r="E31" s="51"/>
      <x:c r="F31" s="55"/>
      <x:c r="G31" s="55"/>
      <x:c r="H31" s="16" t="str">
        <x:f>IF(C31="","",IF(S31="Выкуплен",E31*(F31-G31),0))</x:f>
      </x:c>
      <x:c r="I31" s="55"/>
      <x:c r="J31" s="16" t="str">
        <x:f>IF(C31="","",IF(S31="Выкуплен",E31*I31,IF(S31="Возврат",MAX(0,E31-U31)*I31,0)))</x:f>
      </x:c>
      <x:c r="K31" s="55"/>
      <x:c r="L31" s="55"/>
      <x:c r="M31" s="55"/>
      <x:c r="N31" s="55"/>
      <x:c r="O31" s="55"/>
      <x:c r="P31" s="16" t="str">
        <x:f>IF(C31="","",H31-J31-SUM(K31:O31))</x:f>
      </x:c>
      <x:c r="Q31" s="17" t="str">
        <x:f>IF(C31="","",IF(H31=0,"",P31/H31))</x:f>
      </x:c>
      <x:c r="R31" s="17" t="str">
        <x:f>IF(C31="","",IF(J31=0,"",(H31-J31)/J31))</x:f>
      </x:c>
      <x:c r="S31" s="51"/>
      <x:c r="T31" s="51"/>
      <x:c r="U31" s="51"/>
      <x:c r="V31" s="11" t="str">
        <x:f>IF(C31="","",IF(OR(S31="Выкуплен",S31="Возврат"),E31,0))</x:f>
      </x:c>
      <x:c r="W31" s="11" t="str">
        <x:f>IF(C31="","",IF(B31="",0,IF(COUNTIFS($B$5:B31,B31)=1,1,0)))</x:f>
      </x:c>
      <x:c r="X31" s="11" t="str">
        <x:f>IF(C31="","",IF(S31="Выкуплен",W31,0))</x:f>
      </x:c>
      <x:c r="Y31" s="11" t="str">
        <x:f>IF(C31="","",IF(S31="Отменён",W31,0))</x:f>
      </x:c>
      <x:c r="Z31" s="11" t="str">
        <x:f>IF(C31="","",IF(S31="Возврат",W31,0))</x:f>
      </x:c>
      <x:c r="AA31" s="11" t="str">
        <x:f>IF(C31="","",IF(S31="Выкуплен",E31,0))</x:f>
      </x:c>
    </x:row>
    <x:row r="32" ht="23" customHeight="1">
      <x:c r="A32" s="54"/>
      <x:c r="B32" s="51"/>
      <x:c r="C32" s="51"/>
      <x:c r="D32" s="11" t="str">
        <x:f>IF(C32="","",_xlfn.IFNA(INDEX(Products[Товар],MATCH(C32,Products[SKU],0)),"Нет SKU"))</x:f>
      </x:c>
      <x:c r="E32" s="51"/>
      <x:c r="F32" s="55"/>
      <x:c r="G32" s="55"/>
      <x:c r="H32" s="16" t="str">
        <x:f>IF(C32="","",IF(S32="Выкуплен",E32*(F32-G32),0))</x:f>
      </x:c>
      <x:c r="I32" s="55"/>
      <x:c r="J32" s="16" t="str">
        <x:f>IF(C32="","",IF(S32="Выкуплен",E32*I32,IF(S32="Возврат",MAX(0,E32-U32)*I32,0)))</x:f>
      </x:c>
      <x:c r="K32" s="55"/>
      <x:c r="L32" s="55"/>
      <x:c r="M32" s="55"/>
      <x:c r="N32" s="55"/>
      <x:c r="O32" s="55"/>
      <x:c r="P32" s="16" t="str">
        <x:f>IF(C32="","",H32-J32-SUM(K32:O32))</x:f>
      </x:c>
      <x:c r="Q32" s="17" t="str">
        <x:f>IF(C32="","",IF(H32=0,"",P32/H32))</x:f>
      </x:c>
      <x:c r="R32" s="17" t="str">
        <x:f>IF(C32="","",IF(J32=0,"",(H32-J32)/J32))</x:f>
      </x:c>
      <x:c r="S32" s="51"/>
      <x:c r="T32" s="51"/>
      <x:c r="U32" s="51"/>
      <x:c r="V32" s="11" t="str">
        <x:f>IF(C32="","",IF(OR(S32="Выкуплен",S32="Возврат"),E32,0))</x:f>
      </x:c>
      <x:c r="W32" s="11" t="str">
        <x:f>IF(C32="","",IF(B32="",0,IF(COUNTIFS($B$5:B32,B32)=1,1,0)))</x:f>
      </x:c>
      <x:c r="X32" s="11" t="str">
        <x:f>IF(C32="","",IF(S32="Выкуплен",W32,0))</x:f>
      </x:c>
      <x:c r="Y32" s="11" t="str">
        <x:f>IF(C32="","",IF(S32="Отменён",W32,0))</x:f>
      </x:c>
      <x:c r="Z32" s="11" t="str">
        <x:f>IF(C32="","",IF(S32="Возврат",W32,0))</x:f>
      </x:c>
      <x:c r="AA32" s="11" t="str">
        <x:f>IF(C32="","",IF(S32="Выкуплен",E32,0))</x:f>
      </x:c>
    </x:row>
    <x:row r="33" ht="23" customHeight="1">
      <x:c r="A33" s="54"/>
      <x:c r="B33" s="51"/>
      <x:c r="C33" s="51"/>
      <x:c r="D33" s="11" t="str">
        <x:f>IF(C33="","",_xlfn.IFNA(INDEX(Products[Товар],MATCH(C33,Products[SKU],0)),"Нет SKU"))</x:f>
      </x:c>
      <x:c r="E33" s="51"/>
      <x:c r="F33" s="55"/>
      <x:c r="G33" s="55"/>
      <x:c r="H33" s="16" t="str">
        <x:f>IF(C33="","",IF(S33="Выкуплен",E33*(F33-G33),0))</x:f>
      </x:c>
      <x:c r="I33" s="55"/>
      <x:c r="J33" s="16" t="str">
        <x:f>IF(C33="","",IF(S33="Выкуплен",E33*I33,IF(S33="Возврат",MAX(0,E33-U33)*I33,0)))</x:f>
      </x:c>
      <x:c r="K33" s="55"/>
      <x:c r="L33" s="55"/>
      <x:c r="M33" s="55"/>
      <x:c r="N33" s="55"/>
      <x:c r="O33" s="55"/>
      <x:c r="P33" s="16" t="str">
        <x:f>IF(C33="","",H33-J33-SUM(K33:O33))</x:f>
      </x:c>
      <x:c r="Q33" s="17" t="str">
        <x:f>IF(C33="","",IF(H33=0,"",P33/H33))</x:f>
      </x:c>
      <x:c r="R33" s="17" t="str">
        <x:f>IF(C33="","",IF(J33=0,"",(H33-J33)/J33))</x:f>
      </x:c>
      <x:c r="S33" s="51"/>
      <x:c r="T33" s="51"/>
      <x:c r="U33" s="51"/>
      <x:c r="V33" s="11" t="str">
        <x:f>IF(C33="","",IF(OR(S33="Выкуплен",S33="Возврат"),E33,0))</x:f>
      </x:c>
      <x:c r="W33" s="11" t="str">
        <x:f>IF(C33="","",IF(B33="",0,IF(COUNTIFS($B$5:B33,B33)=1,1,0)))</x:f>
      </x:c>
      <x:c r="X33" s="11" t="str">
        <x:f>IF(C33="","",IF(S33="Выкуплен",W33,0))</x:f>
      </x:c>
      <x:c r="Y33" s="11" t="str">
        <x:f>IF(C33="","",IF(S33="Отменён",W33,0))</x:f>
      </x:c>
      <x:c r="Z33" s="11" t="str">
        <x:f>IF(C33="","",IF(S33="Возврат",W33,0))</x:f>
      </x:c>
      <x:c r="AA33" s="11" t="str">
        <x:f>IF(C33="","",IF(S33="Выкуплен",E33,0))</x:f>
      </x:c>
    </x:row>
    <x:row r="34" ht="23" customHeight="1">
      <x:c r="A34" s="54"/>
      <x:c r="B34" s="51"/>
      <x:c r="C34" s="51"/>
      <x:c r="D34" s="11" t="str">
        <x:f>IF(C34="","",_xlfn.IFNA(INDEX(Products[Товар],MATCH(C34,Products[SKU],0)),"Нет SKU"))</x:f>
      </x:c>
      <x:c r="E34" s="51"/>
      <x:c r="F34" s="55"/>
      <x:c r="G34" s="55"/>
      <x:c r="H34" s="16" t="str">
        <x:f>IF(C34="","",IF(S34="Выкуплен",E34*(F34-G34),0))</x:f>
      </x:c>
      <x:c r="I34" s="55"/>
      <x:c r="J34" s="16" t="str">
        <x:f>IF(C34="","",IF(S34="Выкуплен",E34*I34,IF(S34="Возврат",MAX(0,E34-U34)*I34,0)))</x:f>
      </x:c>
      <x:c r="K34" s="55"/>
      <x:c r="L34" s="55"/>
      <x:c r="M34" s="55"/>
      <x:c r="N34" s="55"/>
      <x:c r="O34" s="55"/>
      <x:c r="P34" s="16" t="str">
        <x:f>IF(C34="","",H34-J34-SUM(K34:O34))</x:f>
      </x:c>
      <x:c r="Q34" s="17" t="str">
        <x:f>IF(C34="","",IF(H34=0,"",P34/H34))</x:f>
      </x:c>
      <x:c r="R34" s="17" t="str">
        <x:f>IF(C34="","",IF(J34=0,"",(H34-J34)/J34))</x:f>
      </x:c>
      <x:c r="S34" s="51"/>
      <x:c r="T34" s="51"/>
      <x:c r="U34" s="51"/>
      <x:c r="V34" s="11" t="str">
        <x:f>IF(C34="","",IF(OR(S34="Выкуплен",S34="Возврат"),E34,0))</x:f>
      </x:c>
      <x:c r="W34" s="11" t="str">
        <x:f>IF(C34="","",IF(B34="",0,IF(COUNTIFS($B$5:B34,B34)=1,1,0)))</x:f>
      </x:c>
      <x:c r="X34" s="11" t="str">
        <x:f>IF(C34="","",IF(S34="Выкуплен",W34,0))</x:f>
      </x:c>
      <x:c r="Y34" s="11" t="str">
        <x:f>IF(C34="","",IF(S34="Отменён",W34,0))</x:f>
      </x:c>
      <x:c r="Z34" s="11" t="str">
        <x:f>IF(C34="","",IF(S34="Возврат",W34,0))</x:f>
      </x:c>
      <x:c r="AA34" s="11" t="str">
        <x:f>IF(C34="","",IF(S34="Выкуплен",E34,0))</x:f>
      </x:c>
    </x:row>
    <x:row r="35" ht="23" customHeight="1">
      <x:c r="A35" s="54"/>
      <x:c r="B35" s="51"/>
      <x:c r="C35" s="51"/>
      <x:c r="D35" s="11" t="str">
        <x:f>IF(C35="","",_xlfn.IFNA(INDEX(Products[Товар],MATCH(C35,Products[SKU],0)),"Нет SKU"))</x:f>
      </x:c>
      <x:c r="E35" s="51"/>
      <x:c r="F35" s="55"/>
      <x:c r="G35" s="55"/>
      <x:c r="H35" s="16" t="str">
        <x:f>IF(C35="","",IF(S35="Выкуплен",E35*(F35-G35),0))</x:f>
      </x:c>
      <x:c r="I35" s="55"/>
      <x:c r="J35" s="16" t="str">
        <x:f>IF(C35="","",IF(S35="Выкуплен",E35*I35,IF(S35="Возврат",MAX(0,E35-U35)*I35,0)))</x:f>
      </x:c>
      <x:c r="K35" s="55"/>
      <x:c r="L35" s="55"/>
      <x:c r="M35" s="55"/>
      <x:c r="N35" s="55"/>
      <x:c r="O35" s="55"/>
      <x:c r="P35" s="16" t="str">
        <x:f>IF(C35="","",H35-J35-SUM(K35:O35))</x:f>
      </x:c>
      <x:c r="Q35" s="17" t="str">
        <x:f>IF(C35="","",IF(H35=0,"",P35/H35))</x:f>
      </x:c>
      <x:c r="R35" s="17" t="str">
        <x:f>IF(C35="","",IF(J35=0,"",(H35-J35)/J35))</x:f>
      </x:c>
      <x:c r="S35" s="51"/>
      <x:c r="T35" s="51"/>
      <x:c r="U35" s="51"/>
      <x:c r="V35" s="11" t="str">
        <x:f>IF(C35="","",IF(OR(S35="Выкуплен",S35="Возврат"),E35,0))</x:f>
      </x:c>
      <x:c r="W35" s="11" t="str">
        <x:f>IF(C35="","",IF(B35="",0,IF(COUNTIFS($B$5:B35,B35)=1,1,0)))</x:f>
      </x:c>
      <x:c r="X35" s="11" t="str">
        <x:f>IF(C35="","",IF(S35="Выкуплен",W35,0))</x:f>
      </x:c>
      <x:c r="Y35" s="11" t="str">
        <x:f>IF(C35="","",IF(S35="Отменён",W35,0))</x:f>
      </x:c>
      <x:c r="Z35" s="11" t="str">
        <x:f>IF(C35="","",IF(S35="Возврат",W35,0))</x:f>
      </x:c>
      <x:c r="AA35" s="11" t="str">
        <x:f>IF(C35="","",IF(S35="Выкуплен",E35,0))</x:f>
      </x:c>
    </x:row>
    <x:row r="36" ht="23" customHeight="1">
      <x:c r="A36" s="54"/>
      <x:c r="B36" s="51"/>
      <x:c r="C36" s="51"/>
      <x:c r="D36" s="11" t="str">
        <x:f>IF(C36="","",_xlfn.IFNA(INDEX(Products[Товар],MATCH(C36,Products[SKU],0)),"Нет SKU"))</x:f>
      </x:c>
      <x:c r="E36" s="51"/>
      <x:c r="F36" s="55"/>
      <x:c r="G36" s="55"/>
      <x:c r="H36" s="16" t="str">
        <x:f>IF(C36="","",IF(S36="Выкуплен",E36*(F36-G36),0))</x:f>
      </x:c>
      <x:c r="I36" s="55"/>
      <x:c r="J36" s="16" t="str">
        <x:f>IF(C36="","",IF(S36="Выкуплен",E36*I36,IF(S36="Возврат",MAX(0,E36-U36)*I36,0)))</x:f>
      </x:c>
      <x:c r="K36" s="55"/>
      <x:c r="L36" s="55"/>
      <x:c r="M36" s="55"/>
      <x:c r="N36" s="55"/>
      <x:c r="O36" s="55"/>
      <x:c r="P36" s="16" t="str">
        <x:f>IF(C36="","",H36-J36-SUM(K36:O36))</x:f>
      </x:c>
      <x:c r="Q36" s="17" t="str">
        <x:f>IF(C36="","",IF(H36=0,"",P36/H36))</x:f>
      </x:c>
      <x:c r="R36" s="17" t="str">
        <x:f>IF(C36="","",IF(J36=0,"",(H36-J36)/J36))</x:f>
      </x:c>
      <x:c r="S36" s="51"/>
      <x:c r="T36" s="51"/>
      <x:c r="U36" s="51"/>
      <x:c r="V36" s="11" t="str">
        <x:f>IF(C36="","",IF(OR(S36="Выкуплен",S36="Возврат"),E36,0))</x:f>
      </x:c>
      <x:c r="W36" s="11" t="str">
        <x:f>IF(C36="","",IF(B36="",0,IF(COUNTIFS($B$5:B36,B36)=1,1,0)))</x:f>
      </x:c>
      <x:c r="X36" s="11" t="str">
        <x:f>IF(C36="","",IF(S36="Выкуплен",W36,0))</x:f>
      </x:c>
      <x:c r="Y36" s="11" t="str">
        <x:f>IF(C36="","",IF(S36="Отменён",W36,0))</x:f>
      </x:c>
      <x:c r="Z36" s="11" t="str">
        <x:f>IF(C36="","",IF(S36="Возврат",W36,0))</x:f>
      </x:c>
      <x:c r="AA36" s="11" t="str">
        <x:f>IF(C36="","",IF(S36="Выкуплен",E36,0))</x:f>
      </x:c>
    </x:row>
    <x:row r="37" ht="23" customHeight="1">
      <x:c r="A37" s="54"/>
      <x:c r="B37" s="51"/>
      <x:c r="C37" s="51"/>
      <x:c r="D37" s="11" t="str">
        <x:f>IF(C37="","",_xlfn.IFNA(INDEX(Products[Товар],MATCH(C37,Products[SKU],0)),"Нет SKU"))</x:f>
      </x:c>
      <x:c r="E37" s="51"/>
      <x:c r="F37" s="55"/>
      <x:c r="G37" s="55"/>
      <x:c r="H37" s="16" t="str">
        <x:f>IF(C37="","",IF(S37="Выкуплен",E37*(F37-G37),0))</x:f>
      </x:c>
      <x:c r="I37" s="55"/>
      <x:c r="J37" s="16" t="str">
        <x:f>IF(C37="","",IF(S37="Выкуплен",E37*I37,IF(S37="Возврат",MAX(0,E37-U37)*I37,0)))</x:f>
      </x:c>
      <x:c r="K37" s="55"/>
      <x:c r="L37" s="55"/>
      <x:c r="M37" s="55"/>
      <x:c r="N37" s="55"/>
      <x:c r="O37" s="55"/>
      <x:c r="P37" s="16" t="str">
        <x:f>IF(C37="","",H37-J37-SUM(K37:O37))</x:f>
      </x:c>
      <x:c r="Q37" s="17" t="str">
        <x:f>IF(C37="","",IF(H37=0,"",P37/H37))</x:f>
      </x:c>
      <x:c r="R37" s="17" t="str">
        <x:f>IF(C37="","",IF(J37=0,"",(H37-J37)/J37))</x:f>
      </x:c>
      <x:c r="S37" s="51"/>
      <x:c r="T37" s="51"/>
      <x:c r="U37" s="51"/>
      <x:c r="V37" s="11" t="str">
        <x:f>IF(C37="","",IF(OR(S37="Выкуплен",S37="Возврат"),E37,0))</x:f>
      </x:c>
      <x:c r="W37" s="11" t="str">
        <x:f>IF(C37="","",IF(B37="",0,IF(COUNTIFS($B$5:B37,B37)=1,1,0)))</x:f>
      </x:c>
      <x:c r="X37" s="11" t="str">
        <x:f>IF(C37="","",IF(S37="Выкуплен",W37,0))</x:f>
      </x:c>
      <x:c r="Y37" s="11" t="str">
        <x:f>IF(C37="","",IF(S37="Отменён",W37,0))</x:f>
      </x:c>
      <x:c r="Z37" s="11" t="str">
        <x:f>IF(C37="","",IF(S37="Возврат",W37,0))</x:f>
      </x:c>
      <x:c r="AA37" s="11" t="str">
        <x:f>IF(C37="","",IF(S37="Выкуплен",E37,0))</x:f>
      </x:c>
    </x:row>
    <x:row r="38" ht="23" customHeight="1">
      <x:c r="A38" s="54"/>
      <x:c r="B38" s="51"/>
      <x:c r="C38" s="51"/>
      <x:c r="D38" s="11" t="str">
        <x:f>IF(C38="","",_xlfn.IFNA(INDEX(Products[Товар],MATCH(C38,Products[SKU],0)),"Нет SKU"))</x:f>
      </x:c>
      <x:c r="E38" s="51"/>
      <x:c r="F38" s="55"/>
      <x:c r="G38" s="55"/>
      <x:c r="H38" s="16" t="str">
        <x:f>IF(C38="","",IF(S38="Выкуплен",E38*(F38-G38),0))</x:f>
      </x:c>
      <x:c r="I38" s="55"/>
      <x:c r="J38" s="16" t="str">
        <x:f>IF(C38="","",IF(S38="Выкуплен",E38*I38,IF(S38="Возврат",MAX(0,E38-U38)*I38,0)))</x:f>
      </x:c>
      <x:c r="K38" s="55"/>
      <x:c r="L38" s="55"/>
      <x:c r="M38" s="55"/>
      <x:c r="N38" s="55"/>
      <x:c r="O38" s="55"/>
      <x:c r="P38" s="16" t="str">
        <x:f>IF(C38="","",H38-J38-SUM(K38:O38))</x:f>
      </x:c>
      <x:c r="Q38" s="17" t="str">
        <x:f>IF(C38="","",IF(H38=0,"",P38/H38))</x:f>
      </x:c>
      <x:c r="R38" s="17" t="str">
        <x:f>IF(C38="","",IF(J38=0,"",(H38-J38)/J38))</x:f>
      </x:c>
      <x:c r="S38" s="51"/>
      <x:c r="T38" s="51"/>
      <x:c r="U38" s="51"/>
      <x:c r="V38" s="11" t="str">
        <x:f>IF(C38="","",IF(OR(S38="Выкуплен",S38="Возврат"),E38,0))</x:f>
      </x:c>
      <x:c r="W38" s="11" t="str">
        <x:f>IF(C38="","",IF(B38="",0,IF(COUNTIFS($B$5:B38,B38)=1,1,0)))</x:f>
      </x:c>
      <x:c r="X38" s="11" t="str">
        <x:f>IF(C38="","",IF(S38="Выкуплен",W38,0))</x:f>
      </x:c>
      <x:c r="Y38" s="11" t="str">
        <x:f>IF(C38="","",IF(S38="Отменён",W38,0))</x:f>
      </x:c>
      <x:c r="Z38" s="11" t="str">
        <x:f>IF(C38="","",IF(S38="Возврат",W38,0))</x:f>
      </x:c>
      <x:c r="AA38" s="11" t="str">
        <x:f>IF(C38="","",IF(S38="Выкуплен",E38,0))</x:f>
      </x:c>
    </x:row>
    <x:row r="39" ht="23" customHeight="1">
      <x:c r="A39" s="54"/>
      <x:c r="B39" s="51"/>
      <x:c r="C39" s="51"/>
      <x:c r="D39" s="11" t="str">
        <x:f>IF(C39="","",_xlfn.IFNA(INDEX(Products[Товар],MATCH(C39,Products[SKU],0)),"Нет SKU"))</x:f>
      </x:c>
      <x:c r="E39" s="51"/>
      <x:c r="F39" s="55"/>
      <x:c r="G39" s="55"/>
      <x:c r="H39" s="16" t="str">
        <x:f>IF(C39="","",IF(S39="Выкуплен",E39*(F39-G39),0))</x:f>
      </x:c>
      <x:c r="I39" s="55"/>
      <x:c r="J39" s="16" t="str">
        <x:f>IF(C39="","",IF(S39="Выкуплен",E39*I39,IF(S39="Возврат",MAX(0,E39-U39)*I39,0)))</x:f>
      </x:c>
      <x:c r="K39" s="55"/>
      <x:c r="L39" s="55"/>
      <x:c r="M39" s="55"/>
      <x:c r="N39" s="55"/>
      <x:c r="O39" s="55"/>
      <x:c r="P39" s="16" t="str">
        <x:f>IF(C39="","",H39-J39-SUM(K39:O39))</x:f>
      </x:c>
      <x:c r="Q39" s="17" t="str">
        <x:f>IF(C39="","",IF(H39=0,"",P39/H39))</x:f>
      </x:c>
      <x:c r="R39" s="17" t="str">
        <x:f>IF(C39="","",IF(J39=0,"",(H39-J39)/J39))</x:f>
      </x:c>
      <x:c r="S39" s="51"/>
      <x:c r="T39" s="51"/>
      <x:c r="U39" s="51"/>
      <x:c r="V39" s="11" t="str">
        <x:f>IF(C39="","",IF(OR(S39="Выкуплен",S39="Возврат"),E39,0))</x:f>
      </x:c>
      <x:c r="W39" s="11" t="str">
        <x:f>IF(C39="","",IF(B39="",0,IF(COUNTIFS($B$5:B39,B39)=1,1,0)))</x:f>
      </x:c>
      <x:c r="X39" s="11" t="str">
        <x:f>IF(C39="","",IF(S39="Выкуплен",W39,0))</x:f>
      </x:c>
      <x:c r="Y39" s="11" t="str">
        <x:f>IF(C39="","",IF(S39="Отменён",W39,0))</x:f>
      </x:c>
      <x:c r="Z39" s="11" t="str">
        <x:f>IF(C39="","",IF(S39="Возврат",W39,0))</x:f>
      </x:c>
      <x:c r="AA39" s="11" t="str">
        <x:f>IF(C39="","",IF(S39="Выкуплен",E39,0))</x:f>
      </x:c>
    </x:row>
    <x:row r="40" ht="23" customHeight="1">
      <x:c r="A40" s="54"/>
      <x:c r="B40" s="51"/>
      <x:c r="C40" s="51"/>
      <x:c r="D40" s="11" t="str">
        <x:f>IF(C40="","",_xlfn.IFNA(INDEX(Products[Товар],MATCH(C40,Products[SKU],0)),"Нет SKU"))</x:f>
      </x:c>
      <x:c r="E40" s="51"/>
      <x:c r="F40" s="55"/>
      <x:c r="G40" s="55"/>
      <x:c r="H40" s="16" t="str">
        <x:f>IF(C40="","",IF(S40="Выкуплен",E40*(F40-G40),0))</x:f>
      </x:c>
      <x:c r="I40" s="55"/>
      <x:c r="J40" s="16" t="str">
        <x:f>IF(C40="","",IF(S40="Выкуплен",E40*I40,IF(S40="Возврат",MAX(0,E40-U40)*I40,0)))</x:f>
      </x:c>
      <x:c r="K40" s="55"/>
      <x:c r="L40" s="55"/>
      <x:c r="M40" s="55"/>
      <x:c r="N40" s="55"/>
      <x:c r="O40" s="55"/>
      <x:c r="P40" s="16" t="str">
        <x:f>IF(C40="","",H40-J40-SUM(K40:O40))</x:f>
      </x:c>
      <x:c r="Q40" s="17" t="str">
        <x:f>IF(C40="","",IF(H40=0,"",P40/H40))</x:f>
      </x:c>
      <x:c r="R40" s="17" t="str">
        <x:f>IF(C40="","",IF(J40=0,"",(H40-J40)/J40))</x:f>
      </x:c>
      <x:c r="S40" s="51"/>
      <x:c r="T40" s="51"/>
      <x:c r="U40" s="51"/>
      <x:c r="V40" s="11" t="str">
        <x:f>IF(C40="","",IF(OR(S40="Выкуплен",S40="Возврат"),E40,0))</x:f>
      </x:c>
      <x:c r="W40" s="11" t="str">
        <x:f>IF(C40="","",IF(B40="",0,IF(COUNTIFS($B$5:B40,B40)=1,1,0)))</x:f>
      </x:c>
      <x:c r="X40" s="11" t="str">
        <x:f>IF(C40="","",IF(S40="Выкуплен",W40,0))</x:f>
      </x:c>
      <x:c r="Y40" s="11" t="str">
        <x:f>IF(C40="","",IF(S40="Отменён",W40,0))</x:f>
      </x:c>
      <x:c r="Z40" s="11" t="str">
        <x:f>IF(C40="","",IF(S40="Возврат",W40,0))</x:f>
      </x:c>
      <x:c r="AA40" s="11" t="str">
        <x:f>IF(C40="","",IF(S40="Выкуплен",E40,0))</x:f>
      </x:c>
    </x:row>
    <x:row r="41" ht="23" customHeight="1">
      <x:c r="A41" s="54"/>
      <x:c r="B41" s="51"/>
      <x:c r="C41" s="51"/>
      <x:c r="D41" s="11" t="str">
        <x:f>IF(C41="","",_xlfn.IFNA(INDEX(Products[Товар],MATCH(C41,Products[SKU],0)),"Нет SKU"))</x:f>
      </x:c>
      <x:c r="E41" s="51"/>
      <x:c r="F41" s="55"/>
      <x:c r="G41" s="55"/>
      <x:c r="H41" s="16" t="str">
        <x:f>IF(C41="","",IF(S41="Выкуплен",E41*(F41-G41),0))</x:f>
      </x:c>
      <x:c r="I41" s="55"/>
      <x:c r="J41" s="16" t="str">
        <x:f>IF(C41="","",IF(S41="Выкуплен",E41*I41,IF(S41="Возврат",MAX(0,E41-U41)*I41,0)))</x:f>
      </x:c>
      <x:c r="K41" s="55"/>
      <x:c r="L41" s="55"/>
      <x:c r="M41" s="55"/>
      <x:c r="N41" s="55"/>
      <x:c r="O41" s="55"/>
      <x:c r="P41" s="16" t="str">
        <x:f>IF(C41="","",H41-J41-SUM(K41:O41))</x:f>
      </x:c>
      <x:c r="Q41" s="17" t="str">
        <x:f>IF(C41="","",IF(H41=0,"",P41/H41))</x:f>
      </x:c>
      <x:c r="R41" s="17" t="str">
        <x:f>IF(C41="","",IF(J41=0,"",(H41-J41)/J41))</x:f>
      </x:c>
      <x:c r="S41" s="51"/>
      <x:c r="T41" s="51"/>
      <x:c r="U41" s="51"/>
      <x:c r="V41" s="11" t="str">
        <x:f>IF(C41="","",IF(OR(S41="Выкуплен",S41="Возврат"),E41,0))</x:f>
      </x:c>
      <x:c r="W41" s="11" t="str">
        <x:f>IF(C41="","",IF(B41="",0,IF(COUNTIFS($B$5:B41,B41)=1,1,0)))</x:f>
      </x:c>
      <x:c r="X41" s="11" t="str">
        <x:f>IF(C41="","",IF(S41="Выкуплен",W41,0))</x:f>
      </x:c>
      <x:c r="Y41" s="11" t="str">
        <x:f>IF(C41="","",IF(S41="Отменён",W41,0))</x:f>
      </x:c>
      <x:c r="Z41" s="11" t="str">
        <x:f>IF(C41="","",IF(S41="Возврат",W41,0))</x:f>
      </x:c>
      <x:c r="AA41" s="11" t="str">
        <x:f>IF(C41="","",IF(S41="Выкуплен",E41,0))</x:f>
      </x:c>
    </x:row>
    <x:row r="42" ht="23" customHeight="1">
      <x:c r="A42" s="54"/>
      <x:c r="B42" s="51"/>
      <x:c r="C42" s="51"/>
      <x:c r="D42" s="11" t="str">
        <x:f>IF(C42="","",_xlfn.IFNA(INDEX(Products[Товар],MATCH(C42,Products[SKU],0)),"Нет SKU"))</x:f>
      </x:c>
      <x:c r="E42" s="51"/>
      <x:c r="F42" s="55"/>
      <x:c r="G42" s="55"/>
      <x:c r="H42" s="16" t="str">
        <x:f>IF(C42="","",IF(S42="Выкуплен",E42*(F42-G42),0))</x:f>
      </x:c>
      <x:c r="I42" s="55"/>
      <x:c r="J42" s="16" t="str">
        <x:f>IF(C42="","",IF(S42="Выкуплен",E42*I42,IF(S42="Возврат",MAX(0,E42-U42)*I42,0)))</x:f>
      </x:c>
      <x:c r="K42" s="55"/>
      <x:c r="L42" s="55"/>
      <x:c r="M42" s="55"/>
      <x:c r="N42" s="55"/>
      <x:c r="O42" s="55"/>
      <x:c r="P42" s="16" t="str">
        <x:f>IF(C42="","",H42-J42-SUM(K42:O42))</x:f>
      </x:c>
      <x:c r="Q42" s="17" t="str">
        <x:f>IF(C42="","",IF(H42=0,"",P42/H42))</x:f>
      </x:c>
      <x:c r="R42" s="17" t="str">
        <x:f>IF(C42="","",IF(J42=0,"",(H42-J42)/J42))</x:f>
      </x:c>
      <x:c r="S42" s="51"/>
      <x:c r="T42" s="51"/>
      <x:c r="U42" s="51"/>
      <x:c r="V42" s="11" t="str">
        <x:f>IF(C42="","",IF(OR(S42="Выкуплен",S42="Возврат"),E42,0))</x:f>
      </x:c>
      <x:c r="W42" s="11" t="str">
        <x:f>IF(C42="","",IF(B42="",0,IF(COUNTIFS($B$5:B42,B42)=1,1,0)))</x:f>
      </x:c>
      <x:c r="X42" s="11" t="str">
        <x:f>IF(C42="","",IF(S42="Выкуплен",W42,0))</x:f>
      </x:c>
      <x:c r="Y42" s="11" t="str">
        <x:f>IF(C42="","",IF(S42="Отменён",W42,0))</x:f>
      </x:c>
      <x:c r="Z42" s="11" t="str">
        <x:f>IF(C42="","",IF(S42="Возврат",W42,0))</x:f>
      </x:c>
      <x:c r="AA42" s="11" t="str">
        <x:f>IF(C42="","",IF(S42="Выкуплен",E42,0))</x:f>
      </x:c>
    </x:row>
    <x:row r="43" ht="23" customHeight="1">
      <x:c r="A43" s="54"/>
      <x:c r="B43" s="51"/>
      <x:c r="C43" s="51"/>
      <x:c r="D43" s="11" t="str">
        <x:f>IF(C43="","",_xlfn.IFNA(INDEX(Products[Товар],MATCH(C43,Products[SKU],0)),"Нет SKU"))</x:f>
      </x:c>
      <x:c r="E43" s="51"/>
      <x:c r="F43" s="55"/>
      <x:c r="G43" s="55"/>
      <x:c r="H43" s="16" t="str">
        <x:f>IF(C43="","",IF(S43="Выкуплен",E43*(F43-G43),0))</x:f>
      </x:c>
      <x:c r="I43" s="55"/>
      <x:c r="J43" s="16" t="str">
        <x:f>IF(C43="","",IF(S43="Выкуплен",E43*I43,IF(S43="Возврат",MAX(0,E43-U43)*I43,0)))</x:f>
      </x:c>
      <x:c r="K43" s="55"/>
      <x:c r="L43" s="55"/>
      <x:c r="M43" s="55"/>
      <x:c r="N43" s="55"/>
      <x:c r="O43" s="55"/>
      <x:c r="P43" s="16" t="str">
        <x:f>IF(C43="","",H43-J43-SUM(K43:O43))</x:f>
      </x:c>
      <x:c r="Q43" s="17" t="str">
        <x:f>IF(C43="","",IF(H43=0,"",P43/H43))</x:f>
      </x:c>
      <x:c r="R43" s="17" t="str">
        <x:f>IF(C43="","",IF(J43=0,"",(H43-J43)/J43))</x:f>
      </x:c>
      <x:c r="S43" s="51"/>
      <x:c r="T43" s="51"/>
      <x:c r="U43" s="51"/>
      <x:c r="V43" s="11" t="str">
        <x:f>IF(C43="","",IF(OR(S43="Выкуплен",S43="Возврат"),E43,0))</x:f>
      </x:c>
      <x:c r="W43" s="11" t="str">
        <x:f>IF(C43="","",IF(B43="",0,IF(COUNTIFS($B$5:B43,B43)=1,1,0)))</x:f>
      </x:c>
      <x:c r="X43" s="11" t="str">
        <x:f>IF(C43="","",IF(S43="Выкуплен",W43,0))</x:f>
      </x:c>
      <x:c r="Y43" s="11" t="str">
        <x:f>IF(C43="","",IF(S43="Отменён",W43,0))</x:f>
      </x:c>
      <x:c r="Z43" s="11" t="str">
        <x:f>IF(C43="","",IF(S43="Возврат",W43,0))</x:f>
      </x:c>
      <x:c r="AA43" s="11" t="str">
        <x:f>IF(C43="","",IF(S43="Выкуплен",E43,0))</x:f>
      </x:c>
    </x:row>
    <x:row r="44" ht="23" customHeight="1">
      <x:c r="A44" s="54"/>
      <x:c r="B44" s="51"/>
      <x:c r="C44" s="51"/>
      <x:c r="D44" s="11" t="str">
        <x:f>IF(C44="","",_xlfn.IFNA(INDEX(Products[Товар],MATCH(C44,Products[SKU],0)),"Нет SKU"))</x:f>
      </x:c>
      <x:c r="E44" s="51"/>
      <x:c r="F44" s="55"/>
      <x:c r="G44" s="55"/>
      <x:c r="H44" s="16" t="str">
        <x:f>IF(C44="","",IF(S44="Выкуплен",E44*(F44-G44),0))</x:f>
      </x:c>
      <x:c r="I44" s="55"/>
      <x:c r="J44" s="16" t="str">
        <x:f>IF(C44="","",IF(S44="Выкуплен",E44*I44,IF(S44="Возврат",MAX(0,E44-U44)*I44,0)))</x:f>
      </x:c>
      <x:c r="K44" s="55"/>
      <x:c r="L44" s="55"/>
      <x:c r="M44" s="55"/>
      <x:c r="N44" s="55"/>
      <x:c r="O44" s="55"/>
      <x:c r="P44" s="16" t="str">
        <x:f>IF(C44="","",H44-J44-SUM(K44:O44))</x:f>
      </x:c>
      <x:c r="Q44" s="17" t="str">
        <x:f>IF(C44="","",IF(H44=0,"",P44/H44))</x:f>
      </x:c>
      <x:c r="R44" s="17" t="str">
        <x:f>IF(C44="","",IF(J44=0,"",(H44-J44)/J44))</x:f>
      </x:c>
      <x:c r="S44" s="51"/>
      <x:c r="T44" s="51"/>
      <x:c r="U44" s="51"/>
      <x:c r="V44" s="11" t="str">
        <x:f>IF(C44="","",IF(OR(S44="Выкуплен",S44="Возврат"),E44,0))</x:f>
      </x:c>
      <x:c r="W44" s="11" t="str">
        <x:f>IF(C44="","",IF(B44="",0,IF(COUNTIFS($B$5:B44,B44)=1,1,0)))</x:f>
      </x:c>
      <x:c r="X44" s="11" t="str">
        <x:f>IF(C44="","",IF(S44="Выкуплен",W44,0))</x:f>
      </x:c>
      <x:c r="Y44" s="11" t="str">
        <x:f>IF(C44="","",IF(S44="Отменён",W44,0))</x:f>
      </x:c>
      <x:c r="Z44" s="11" t="str">
        <x:f>IF(C44="","",IF(S44="Возврат",W44,0))</x:f>
      </x:c>
      <x:c r="AA44" s="11" t="str">
        <x:f>IF(C44="","",IF(S44="Выкуплен",E44,0))</x:f>
      </x:c>
    </x:row>
    <x:row r="45" ht="23" customHeight="1">
      <x:c r="A45" s="54"/>
      <x:c r="B45" s="51"/>
      <x:c r="C45" s="51"/>
      <x:c r="D45" s="11" t="str">
        <x:f>IF(C45="","",_xlfn.IFNA(INDEX(Products[Товар],MATCH(C45,Products[SKU],0)),"Нет SKU"))</x:f>
      </x:c>
      <x:c r="E45" s="51"/>
      <x:c r="F45" s="55"/>
      <x:c r="G45" s="55"/>
      <x:c r="H45" s="16" t="str">
        <x:f>IF(C45="","",IF(S45="Выкуплен",E45*(F45-G45),0))</x:f>
      </x:c>
      <x:c r="I45" s="55"/>
      <x:c r="J45" s="16" t="str">
        <x:f>IF(C45="","",IF(S45="Выкуплен",E45*I45,IF(S45="Возврат",MAX(0,E45-U45)*I45,0)))</x:f>
      </x:c>
      <x:c r="K45" s="55"/>
      <x:c r="L45" s="55"/>
      <x:c r="M45" s="55"/>
      <x:c r="N45" s="55"/>
      <x:c r="O45" s="55"/>
      <x:c r="P45" s="16" t="str">
        <x:f>IF(C45="","",H45-J45-SUM(K45:O45))</x:f>
      </x:c>
      <x:c r="Q45" s="17" t="str">
        <x:f>IF(C45="","",IF(H45=0,"",P45/H45))</x:f>
      </x:c>
      <x:c r="R45" s="17" t="str">
        <x:f>IF(C45="","",IF(J45=0,"",(H45-J45)/J45))</x:f>
      </x:c>
      <x:c r="S45" s="51"/>
      <x:c r="T45" s="51"/>
      <x:c r="U45" s="51"/>
      <x:c r="V45" s="11" t="str">
        <x:f>IF(C45="","",IF(OR(S45="Выкуплен",S45="Возврат"),E45,0))</x:f>
      </x:c>
      <x:c r="W45" s="11" t="str">
        <x:f>IF(C45="","",IF(B45="",0,IF(COUNTIFS($B$5:B45,B45)=1,1,0)))</x:f>
      </x:c>
      <x:c r="X45" s="11" t="str">
        <x:f>IF(C45="","",IF(S45="Выкуплен",W45,0))</x:f>
      </x:c>
      <x:c r="Y45" s="11" t="str">
        <x:f>IF(C45="","",IF(S45="Отменён",W45,0))</x:f>
      </x:c>
      <x:c r="Z45" s="11" t="str">
        <x:f>IF(C45="","",IF(S45="Возврат",W45,0))</x:f>
      </x:c>
      <x:c r="AA45" s="11" t="str">
        <x:f>IF(C45="","",IF(S45="Выкуплен",E45,0))</x:f>
      </x:c>
    </x:row>
    <x:row r="46" ht="23" customHeight="1">
      <x:c r="A46" s="54"/>
      <x:c r="B46" s="51"/>
      <x:c r="C46" s="51"/>
      <x:c r="D46" s="11" t="str">
        <x:f>IF(C46="","",_xlfn.IFNA(INDEX(Products[Товар],MATCH(C46,Products[SKU],0)),"Нет SKU"))</x:f>
      </x:c>
      <x:c r="E46" s="51"/>
      <x:c r="F46" s="55"/>
      <x:c r="G46" s="55"/>
      <x:c r="H46" s="16" t="str">
        <x:f>IF(C46="","",IF(S46="Выкуплен",E46*(F46-G46),0))</x:f>
      </x:c>
      <x:c r="I46" s="55"/>
      <x:c r="J46" s="16" t="str">
        <x:f>IF(C46="","",IF(S46="Выкуплен",E46*I46,IF(S46="Возврат",MAX(0,E46-U46)*I46,0)))</x:f>
      </x:c>
      <x:c r="K46" s="55"/>
      <x:c r="L46" s="55"/>
      <x:c r="M46" s="55"/>
      <x:c r="N46" s="55"/>
      <x:c r="O46" s="55"/>
      <x:c r="P46" s="16" t="str">
        <x:f>IF(C46="","",H46-J46-SUM(K46:O46))</x:f>
      </x:c>
      <x:c r="Q46" s="17" t="str">
        <x:f>IF(C46="","",IF(H46=0,"",P46/H46))</x:f>
      </x:c>
      <x:c r="R46" s="17" t="str">
        <x:f>IF(C46="","",IF(J46=0,"",(H46-J46)/J46))</x:f>
      </x:c>
      <x:c r="S46" s="51"/>
      <x:c r="T46" s="51"/>
      <x:c r="U46" s="51"/>
      <x:c r="V46" s="11" t="str">
        <x:f>IF(C46="","",IF(OR(S46="Выкуплен",S46="Возврат"),E46,0))</x:f>
      </x:c>
      <x:c r="W46" s="11" t="str">
        <x:f>IF(C46="","",IF(B46="",0,IF(COUNTIFS($B$5:B46,B46)=1,1,0)))</x:f>
      </x:c>
      <x:c r="X46" s="11" t="str">
        <x:f>IF(C46="","",IF(S46="Выкуплен",W46,0))</x:f>
      </x:c>
      <x:c r="Y46" s="11" t="str">
        <x:f>IF(C46="","",IF(S46="Отменён",W46,0))</x:f>
      </x:c>
      <x:c r="Z46" s="11" t="str">
        <x:f>IF(C46="","",IF(S46="Возврат",W46,0))</x:f>
      </x:c>
      <x:c r="AA46" s="11" t="str">
        <x:f>IF(C46="","",IF(S46="Выкуплен",E46,0))</x:f>
      </x:c>
    </x:row>
    <x:row r="47" ht="23" customHeight="1">
      <x:c r="A47" s="54"/>
      <x:c r="B47" s="51"/>
      <x:c r="C47" s="51"/>
      <x:c r="D47" s="11" t="str">
        <x:f>IF(C47="","",_xlfn.IFNA(INDEX(Products[Товар],MATCH(C47,Products[SKU],0)),"Нет SKU"))</x:f>
      </x:c>
      <x:c r="E47" s="51"/>
      <x:c r="F47" s="55"/>
      <x:c r="G47" s="55"/>
      <x:c r="H47" s="16" t="str">
        <x:f>IF(C47="","",IF(S47="Выкуплен",E47*(F47-G47),0))</x:f>
      </x:c>
      <x:c r="I47" s="55"/>
      <x:c r="J47" s="16" t="str">
        <x:f>IF(C47="","",IF(S47="Выкуплен",E47*I47,IF(S47="Возврат",MAX(0,E47-U47)*I47,0)))</x:f>
      </x:c>
      <x:c r="K47" s="55"/>
      <x:c r="L47" s="55"/>
      <x:c r="M47" s="55"/>
      <x:c r="N47" s="55"/>
      <x:c r="O47" s="55"/>
      <x:c r="P47" s="16" t="str">
        <x:f>IF(C47="","",H47-J47-SUM(K47:O47))</x:f>
      </x:c>
      <x:c r="Q47" s="17" t="str">
        <x:f>IF(C47="","",IF(H47=0,"",P47/H47))</x:f>
      </x:c>
      <x:c r="R47" s="17" t="str">
        <x:f>IF(C47="","",IF(J47=0,"",(H47-J47)/J47))</x:f>
      </x:c>
      <x:c r="S47" s="51"/>
      <x:c r="T47" s="51"/>
      <x:c r="U47" s="51"/>
      <x:c r="V47" s="11" t="str">
        <x:f>IF(C47="","",IF(OR(S47="Выкуплен",S47="Возврат"),E47,0))</x:f>
      </x:c>
      <x:c r="W47" s="11" t="str">
        <x:f>IF(C47="","",IF(B47="",0,IF(COUNTIFS($B$5:B47,B47)=1,1,0)))</x:f>
      </x:c>
      <x:c r="X47" s="11" t="str">
        <x:f>IF(C47="","",IF(S47="Выкуплен",W47,0))</x:f>
      </x:c>
      <x:c r="Y47" s="11" t="str">
        <x:f>IF(C47="","",IF(S47="Отменён",W47,0))</x:f>
      </x:c>
      <x:c r="Z47" s="11" t="str">
        <x:f>IF(C47="","",IF(S47="Возврат",W47,0))</x:f>
      </x:c>
      <x:c r="AA47" s="11" t="str">
        <x:f>IF(C47="","",IF(S47="Выкуплен",E47,0))</x:f>
      </x:c>
    </x:row>
    <x:row r="48" ht="23" customHeight="1">
      <x:c r="A48" s="54"/>
      <x:c r="B48" s="51"/>
      <x:c r="C48" s="51"/>
      <x:c r="D48" s="11" t="str">
        <x:f>IF(C48="","",_xlfn.IFNA(INDEX(Products[Товар],MATCH(C48,Products[SKU],0)),"Нет SKU"))</x:f>
      </x:c>
      <x:c r="E48" s="51"/>
      <x:c r="F48" s="55"/>
      <x:c r="G48" s="55"/>
      <x:c r="H48" s="16" t="str">
        <x:f>IF(C48="","",IF(S48="Выкуплен",E48*(F48-G48),0))</x:f>
      </x:c>
      <x:c r="I48" s="55"/>
      <x:c r="J48" s="16" t="str">
        <x:f>IF(C48="","",IF(S48="Выкуплен",E48*I48,IF(S48="Возврат",MAX(0,E48-U48)*I48,0)))</x:f>
      </x:c>
      <x:c r="K48" s="55"/>
      <x:c r="L48" s="55"/>
      <x:c r="M48" s="55"/>
      <x:c r="N48" s="55"/>
      <x:c r="O48" s="55"/>
      <x:c r="P48" s="16" t="str">
        <x:f>IF(C48="","",H48-J48-SUM(K48:O48))</x:f>
      </x:c>
      <x:c r="Q48" s="17" t="str">
        <x:f>IF(C48="","",IF(H48=0,"",P48/H48))</x:f>
      </x:c>
      <x:c r="R48" s="17" t="str">
        <x:f>IF(C48="","",IF(J48=0,"",(H48-J48)/J48))</x:f>
      </x:c>
      <x:c r="S48" s="51"/>
      <x:c r="T48" s="51"/>
      <x:c r="U48" s="51"/>
      <x:c r="V48" s="11" t="str">
        <x:f>IF(C48="","",IF(OR(S48="Выкуплен",S48="Возврат"),E48,0))</x:f>
      </x:c>
      <x:c r="W48" s="11" t="str">
        <x:f>IF(C48="","",IF(B48="",0,IF(COUNTIFS($B$5:B48,B48)=1,1,0)))</x:f>
      </x:c>
      <x:c r="X48" s="11" t="str">
        <x:f>IF(C48="","",IF(S48="Выкуплен",W48,0))</x:f>
      </x:c>
      <x:c r="Y48" s="11" t="str">
        <x:f>IF(C48="","",IF(S48="Отменён",W48,0))</x:f>
      </x:c>
      <x:c r="Z48" s="11" t="str">
        <x:f>IF(C48="","",IF(S48="Возврат",W48,0))</x:f>
      </x:c>
      <x:c r="AA48" s="11" t="str">
        <x:f>IF(C48="","",IF(S48="Выкуплен",E48,0))</x:f>
      </x:c>
    </x:row>
    <x:row r="49" ht="23" customHeight="1">
      <x:c r="A49" s="54"/>
      <x:c r="B49" s="51"/>
      <x:c r="C49" s="51"/>
      <x:c r="D49" s="11" t="str">
        <x:f>IF(C49="","",_xlfn.IFNA(INDEX(Products[Товар],MATCH(C49,Products[SKU],0)),"Нет SKU"))</x:f>
      </x:c>
      <x:c r="E49" s="51"/>
      <x:c r="F49" s="55"/>
      <x:c r="G49" s="55"/>
      <x:c r="H49" s="16" t="str">
        <x:f>IF(C49="","",IF(S49="Выкуплен",E49*(F49-G49),0))</x:f>
      </x:c>
      <x:c r="I49" s="55"/>
      <x:c r="J49" s="16" t="str">
        <x:f>IF(C49="","",IF(S49="Выкуплен",E49*I49,IF(S49="Возврат",MAX(0,E49-U49)*I49,0)))</x:f>
      </x:c>
      <x:c r="K49" s="55"/>
      <x:c r="L49" s="55"/>
      <x:c r="M49" s="55"/>
      <x:c r="N49" s="55"/>
      <x:c r="O49" s="55"/>
      <x:c r="P49" s="16" t="str">
        <x:f>IF(C49="","",H49-J49-SUM(K49:O49))</x:f>
      </x:c>
      <x:c r="Q49" s="17" t="str">
        <x:f>IF(C49="","",IF(H49=0,"",P49/H49))</x:f>
      </x:c>
      <x:c r="R49" s="17" t="str">
        <x:f>IF(C49="","",IF(J49=0,"",(H49-J49)/J49))</x:f>
      </x:c>
      <x:c r="S49" s="51"/>
      <x:c r="T49" s="51"/>
      <x:c r="U49" s="51"/>
      <x:c r="V49" s="11" t="str">
        <x:f>IF(C49="","",IF(OR(S49="Выкуплен",S49="Возврат"),E49,0))</x:f>
      </x:c>
      <x:c r="W49" s="11" t="str">
        <x:f>IF(C49="","",IF(B49="",0,IF(COUNTIFS($B$5:B49,B49)=1,1,0)))</x:f>
      </x:c>
      <x:c r="X49" s="11" t="str">
        <x:f>IF(C49="","",IF(S49="Выкуплен",W49,0))</x:f>
      </x:c>
      <x:c r="Y49" s="11" t="str">
        <x:f>IF(C49="","",IF(S49="Отменён",W49,0))</x:f>
      </x:c>
      <x:c r="Z49" s="11" t="str">
        <x:f>IF(C49="","",IF(S49="Возврат",W49,0))</x:f>
      </x:c>
      <x:c r="AA49" s="11" t="str">
        <x:f>IF(C49="","",IF(S49="Выкуплен",E49,0))</x:f>
      </x:c>
    </x:row>
    <x:row r="50" ht="23" customHeight="1">
      <x:c r="A50" s="54"/>
      <x:c r="B50" s="51"/>
      <x:c r="C50" s="51"/>
      <x:c r="D50" s="11" t="str">
        <x:f>IF(C50="","",_xlfn.IFNA(INDEX(Products[Товар],MATCH(C50,Products[SKU],0)),"Нет SKU"))</x:f>
      </x:c>
      <x:c r="E50" s="51"/>
      <x:c r="F50" s="55"/>
      <x:c r="G50" s="55"/>
      <x:c r="H50" s="16" t="str">
        <x:f>IF(C50="","",IF(S50="Выкуплен",E50*(F50-G50),0))</x:f>
      </x:c>
      <x:c r="I50" s="55"/>
      <x:c r="J50" s="16" t="str">
        <x:f>IF(C50="","",IF(S50="Выкуплен",E50*I50,IF(S50="Возврат",MAX(0,E50-U50)*I50,0)))</x:f>
      </x:c>
      <x:c r="K50" s="55"/>
      <x:c r="L50" s="55"/>
      <x:c r="M50" s="55"/>
      <x:c r="N50" s="55"/>
      <x:c r="O50" s="55"/>
      <x:c r="P50" s="16" t="str">
        <x:f>IF(C50="","",H50-J50-SUM(K50:O50))</x:f>
      </x:c>
      <x:c r="Q50" s="17" t="str">
        <x:f>IF(C50="","",IF(H50=0,"",P50/H50))</x:f>
      </x:c>
      <x:c r="R50" s="17" t="str">
        <x:f>IF(C50="","",IF(J50=0,"",(H50-J50)/J50))</x:f>
      </x:c>
      <x:c r="S50" s="51"/>
      <x:c r="T50" s="51"/>
      <x:c r="U50" s="51"/>
      <x:c r="V50" s="11" t="str">
        <x:f>IF(C50="","",IF(OR(S50="Выкуплен",S50="Возврат"),E50,0))</x:f>
      </x:c>
      <x:c r="W50" s="11" t="str">
        <x:f>IF(C50="","",IF(B50="",0,IF(COUNTIFS($B$5:B50,B50)=1,1,0)))</x:f>
      </x:c>
      <x:c r="X50" s="11" t="str">
        <x:f>IF(C50="","",IF(S50="Выкуплен",W50,0))</x:f>
      </x:c>
      <x:c r="Y50" s="11" t="str">
        <x:f>IF(C50="","",IF(S50="Отменён",W50,0))</x:f>
      </x:c>
      <x:c r="Z50" s="11" t="str">
        <x:f>IF(C50="","",IF(S50="Возврат",W50,0))</x:f>
      </x:c>
      <x:c r="AA50" s="11" t="str">
        <x:f>IF(C50="","",IF(S50="Выкуплен",E50,0))</x:f>
      </x:c>
    </x:row>
    <x:row r="51" ht="23" customHeight="1">
      <x:c r="A51" s="54"/>
      <x:c r="B51" s="51"/>
      <x:c r="C51" s="51"/>
      <x:c r="D51" s="11" t="str">
        <x:f>IF(C51="","",_xlfn.IFNA(INDEX(Products[Товар],MATCH(C51,Products[SKU],0)),"Нет SKU"))</x:f>
      </x:c>
      <x:c r="E51" s="51"/>
      <x:c r="F51" s="55"/>
      <x:c r="G51" s="55"/>
      <x:c r="H51" s="16" t="str">
        <x:f>IF(C51="","",IF(S51="Выкуплен",E51*(F51-G51),0))</x:f>
      </x:c>
      <x:c r="I51" s="55"/>
      <x:c r="J51" s="16" t="str">
        <x:f>IF(C51="","",IF(S51="Выкуплен",E51*I51,IF(S51="Возврат",MAX(0,E51-U51)*I51,0)))</x:f>
      </x:c>
      <x:c r="K51" s="55"/>
      <x:c r="L51" s="55"/>
      <x:c r="M51" s="55"/>
      <x:c r="N51" s="55"/>
      <x:c r="O51" s="55"/>
      <x:c r="P51" s="16" t="str">
        <x:f>IF(C51="","",H51-J51-SUM(K51:O51))</x:f>
      </x:c>
      <x:c r="Q51" s="17" t="str">
        <x:f>IF(C51="","",IF(H51=0,"",P51/H51))</x:f>
      </x:c>
      <x:c r="R51" s="17" t="str">
        <x:f>IF(C51="","",IF(J51=0,"",(H51-J51)/J51))</x:f>
      </x:c>
      <x:c r="S51" s="51"/>
      <x:c r="T51" s="51"/>
      <x:c r="U51" s="51"/>
      <x:c r="V51" s="11" t="str">
        <x:f>IF(C51="","",IF(OR(S51="Выкуплен",S51="Возврат"),E51,0))</x:f>
      </x:c>
      <x:c r="W51" s="11" t="str">
        <x:f>IF(C51="","",IF(B51="",0,IF(COUNTIFS($B$5:B51,B51)=1,1,0)))</x:f>
      </x:c>
      <x:c r="X51" s="11" t="str">
        <x:f>IF(C51="","",IF(S51="Выкуплен",W51,0))</x:f>
      </x:c>
      <x:c r="Y51" s="11" t="str">
        <x:f>IF(C51="","",IF(S51="Отменён",W51,0))</x:f>
      </x:c>
      <x:c r="Z51" s="11" t="str">
        <x:f>IF(C51="","",IF(S51="Возврат",W51,0))</x:f>
      </x:c>
      <x:c r="AA51" s="11" t="str">
        <x:f>IF(C51="","",IF(S51="Выкуплен",E51,0))</x:f>
      </x:c>
    </x:row>
    <x:row r="52" ht="23" customHeight="1">
      <x:c r="A52" s="54"/>
      <x:c r="B52" s="51"/>
      <x:c r="C52" s="51"/>
      <x:c r="D52" s="11" t="str">
        <x:f>IF(C52="","",_xlfn.IFNA(INDEX(Products[Товар],MATCH(C52,Products[SKU],0)),"Нет SKU"))</x:f>
      </x:c>
      <x:c r="E52" s="51"/>
      <x:c r="F52" s="55"/>
      <x:c r="G52" s="55"/>
      <x:c r="H52" s="16" t="str">
        <x:f>IF(C52="","",IF(S52="Выкуплен",E52*(F52-G52),0))</x:f>
      </x:c>
      <x:c r="I52" s="55"/>
      <x:c r="J52" s="16" t="str">
        <x:f>IF(C52="","",IF(S52="Выкуплен",E52*I52,IF(S52="Возврат",MAX(0,E52-U52)*I52,0)))</x:f>
      </x:c>
      <x:c r="K52" s="55"/>
      <x:c r="L52" s="55"/>
      <x:c r="M52" s="55"/>
      <x:c r="N52" s="55"/>
      <x:c r="O52" s="55"/>
      <x:c r="P52" s="16" t="str">
        <x:f>IF(C52="","",H52-J52-SUM(K52:O52))</x:f>
      </x:c>
      <x:c r="Q52" s="17" t="str">
        <x:f>IF(C52="","",IF(H52=0,"",P52/H52))</x:f>
      </x:c>
      <x:c r="R52" s="17" t="str">
        <x:f>IF(C52="","",IF(J52=0,"",(H52-J52)/J52))</x:f>
      </x:c>
      <x:c r="S52" s="51"/>
      <x:c r="T52" s="51"/>
      <x:c r="U52" s="51"/>
      <x:c r="V52" s="11" t="str">
        <x:f>IF(C52="","",IF(OR(S52="Выкуплен",S52="Возврат"),E52,0))</x:f>
      </x:c>
      <x:c r="W52" s="11" t="str">
        <x:f>IF(C52="","",IF(B52="",0,IF(COUNTIFS($B$5:B52,B52)=1,1,0)))</x:f>
      </x:c>
      <x:c r="X52" s="11" t="str">
        <x:f>IF(C52="","",IF(S52="Выкуплен",W52,0))</x:f>
      </x:c>
      <x:c r="Y52" s="11" t="str">
        <x:f>IF(C52="","",IF(S52="Отменён",W52,0))</x:f>
      </x:c>
      <x:c r="Z52" s="11" t="str">
        <x:f>IF(C52="","",IF(S52="Возврат",W52,0))</x:f>
      </x:c>
      <x:c r="AA52" s="11" t="str">
        <x:f>IF(C52="","",IF(S52="Выкуплен",E52,0))</x:f>
      </x:c>
    </x:row>
    <x:row r="53" ht="23" customHeight="1">
      <x:c r="A53" s="54"/>
      <x:c r="B53" s="51"/>
      <x:c r="C53" s="51"/>
      <x:c r="D53" s="11" t="str">
        <x:f>IF(C53="","",_xlfn.IFNA(INDEX(Products[Товар],MATCH(C53,Products[SKU],0)),"Нет SKU"))</x:f>
      </x:c>
      <x:c r="E53" s="51"/>
      <x:c r="F53" s="55"/>
      <x:c r="G53" s="55"/>
      <x:c r="H53" s="16" t="str">
        <x:f>IF(C53="","",IF(S53="Выкуплен",E53*(F53-G53),0))</x:f>
      </x:c>
      <x:c r="I53" s="55"/>
      <x:c r="J53" s="16" t="str">
        <x:f>IF(C53="","",IF(S53="Выкуплен",E53*I53,IF(S53="Возврат",MAX(0,E53-U53)*I53,0)))</x:f>
      </x:c>
      <x:c r="K53" s="55"/>
      <x:c r="L53" s="55"/>
      <x:c r="M53" s="55"/>
      <x:c r="N53" s="55"/>
      <x:c r="O53" s="55"/>
      <x:c r="P53" s="16" t="str">
        <x:f>IF(C53="","",H53-J53-SUM(K53:O53))</x:f>
      </x:c>
      <x:c r="Q53" s="17" t="str">
        <x:f>IF(C53="","",IF(H53=0,"",P53/H53))</x:f>
      </x:c>
      <x:c r="R53" s="17" t="str">
        <x:f>IF(C53="","",IF(J53=0,"",(H53-J53)/J53))</x:f>
      </x:c>
      <x:c r="S53" s="51"/>
      <x:c r="T53" s="51"/>
      <x:c r="U53" s="51"/>
      <x:c r="V53" s="11" t="str">
        <x:f>IF(C53="","",IF(OR(S53="Выкуплен",S53="Возврат"),E53,0))</x:f>
      </x:c>
      <x:c r="W53" s="11" t="str">
        <x:f>IF(C53="","",IF(B53="",0,IF(COUNTIFS($B$5:B53,B53)=1,1,0)))</x:f>
      </x:c>
      <x:c r="X53" s="11" t="str">
        <x:f>IF(C53="","",IF(S53="Выкуплен",W53,0))</x:f>
      </x:c>
      <x:c r="Y53" s="11" t="str">
        <x:f>IF(C53="","",IF(S53="Отменён",W53,0))</x:f>
      </x:c>
      <x:c r="Z53" s="11" t="str">
        <x:f>IF(C53="","",IF(S53="Возврат",W53,0))</x:f>
      </x:c>
      <x:c r="AA53" s="11" t="str">
        <x:f>IF(C53="","",IF(S53="Выкуплен",E53,0))</x:f>
      </x:c>
    </x:row>
    <x:row r="54" ht="23" customHeight="1">
      <x:c r="A54" s="54"/>
      <x:c r="B54" s="51"/>
      <x:c r="C54" s="51"/>
      <x:c r="D54" s="11" t="str">
        <x:f>IF(C54="","",_xlfn.IFNA(INDEX(Products[Товар],MATCH(C54,Products[SKU],0)),"Нет SKU"))</x:f>
      </x:c>
      <x:c r="E54" s="51"/>
      <x:c r="F54" s="55"/>
      <x:c r="G54" s="55"/>
      <x:c r="H54" s="16" t="str">
        <x:f>IF(C54="","",IF(S54="Выкуплен",E54*(F54-G54),0))</x:f>
      </x:c>
      <x:c r="I54" s="55"/>
      <x:c r="J54" s="16" t="str">
        <x:f>IF(C54="","",IF(S54="Выкуплен",E54*I54,IF(S54="Возврат",MAX(0,E54-U54)*I54,0)))</x:f>
      </x:c>
      <x:c r="K54" s="55"/>
      <x:c r="L54" s="55"/>
      <x:c r="M54" s="55"/>
      <x:c r="N54" s="55"/>
      <x:c r="O54" s="55"/>
      <x:c r="P54" s="16" t="str">
        <x:f>IF(C54="","",H54-J54-SUM(K54:O54))</x:f>
      </x:c>
      <x:c r="Q54" s="17" t="str">
        <x:f>IF(C54="","",IF(H54=0,"",P54/H54))</x:f>
      </x:c>
      <x:c r="R54" s="17" t="str">
        <x:f>IF(C54="","",IF(J54=0,"",(H54-J54)/J54))</x:f>
      </x:c>
      <x:c r="S54" s="51"/>
      <x:c r="T54" s="51"/>
      <x:c r="U54" s="51"/>
      <x:c r="V54" s="11" t="str">
        <x:f>IF(C54="","",IF(OR(S54="Выкуплен",S54="Возврат"),E54,0))</x:f>
      </x:c>
      <x:c r="W54" s="11" t="str">
        <x:f>IF(C54="","",IF(B54="",0,IF(COUNTIFS($B$5:B54,B54)=1,1,0)))</x:f>
      </x:c>
      <x:c r="X54" s="11" t="str">
        <x:f>IF(C54="","",IF(S54="Выкуплен",W54,0))</x:f>
      </x:c>
      <x:c r="Y54" s="11" t="str">
        <x:f>IF(C54="","",IF(S54="Отменён",W54,0))</x:f>
      </x:c>
      <x:c r="Z54" s="11" t="str">
        <x:f>IF(C54="","",IF(S54="Возврат",W54,0))</x:f>
      </x:c>
      <x:c r="AA54" s="11" t="str">
        <x:f>IF(C54="","",IF(S54="Выкуплен",E54,0))</x:f>
      </x:c>
    </x:row>
    <x:row r="55" ht="23" customHeight="1">
      <x:c r="A55" s="54"/>
      <x:c r="B55" s="51"/>
      <x:c r="C55" s="51"/>
      <x:c r="D55" s="11" t="str">
        <x:f>IF(C55="","",_xlfn.IFNA(INDEX(Products[Товар],MATCH(C55,Products[SKU],0)),"Нет SKU"))</x:f>
      </x:c>
      <x:c r="E55" s="51"/>
      <x:c r="F55" s="55"/>
      <x:c r="G55" s="55"/>
      <x:c r="H55" s="16" t="str">
        <x:f>IF(C55="","",IF(S55="Выкуплен",E55*(F55-G55),0))</x:f>
      </x:c>
      <x:c r="I55" s="55"/>
      <x:c r="J55" s="16" t="str">
        <x:f>IF(C55="","",IF(S55="Выкуплен",E55*I55,IF(S55="Возврат",MAX(0,E55-U55)*I55,0)))</x:f>
      </x:c>
      <x:c r="K55" s="55"/>
      <x:c r="L55" s="55"/>
      <x:c r="M55" s="55"/>
      <x:c r="N55" s="55"/>
      <x:c r="O55" s="55"/>
      <x:c r="P55" s="16" t="str">
        <x:f>IF(C55="","",H55-J55-SUM(K55:O55))</x:f>
      </x:c>
      <x:c r="Q55" s="17" t="str">
        <x:f>IF(C55="","",IF(H55=0,"",P55/H55))</x:f>
      </x:c>
      <x:c r="R55" s="17" t="str">
        <x:f>IF(C55="","",IF(J55=0,"",(H55-J55)/J55))</x:f>
      </x:c>
      <x:c r="S55" s="51"/>
      <x:c r="T55" s="51"/>
      <x:c r="U55" s="51"/>
      <x:c r="V55" s="11" t="str">
        <x:f>IF(C55="","",IF(OR(S55="Выкуплен",S55="Возврат"),E55,0))</x:f>
      </x:c>
      <x:c r="W55" s="11" t="str">
        <x:f>IF(C55="","",IF(B55="",0,IF(COUNTIFS($B$5:B55,B55)=1,1,0)))</x:f>
      </x:c>
      <x:c r="X55" s="11" t="str">
        <x:f>IF(C55="","",IF(S55="Выкуплен",W55,0))</x:f>
      </x:c>
      <x:c r="Y55" s="11" t="str">
        <x:f>IF(C55="","",IF(S55="Отменён",W55,0))</x:f>
      </x:c>
      <x:c r="Z55" s="11" t="str">
        <x:f>IF(C55="","",IF(S55="Возврат",W55,0))</x:f>
      </x:c>
      <x:c r="AA55" s="11" t="str">
        <x:f>IF(C55="","",IF(S55="Выкуплен",E55,0))</x:f>
      </x:c>
    </x:row>
    <x:row r="56" ht="23" customHeight="1">
      <x:c r="A56" s="54"/>
      <x:c r="B56" s="51"/>
      <x:c r="C56" s="51"/>
      <x:c r="D56" s="11" t="str">
        <x:f>IF(C56="","",_xlfn.IFNA(INDEX(Products[Товар],MATCH(C56,Products[SKU],0)),"Нет SKU"))</x:f>
      </x:c>
      <x:c r="E56" s="51"/>
      <x:c r="F56" s="55"/>
      <x:c r="G56" s="55"/>
      <x:c r="H56" s="16" t="str">
        <x:f>IF(C56="","",IF(S56="Выкуплен",E56*(F56-G56),0))</x:f>
      </x:c>
      <x:c r="I56" s="55"/>
      <x:c r="J56" s="16" t="str">
        <x:f>IF(C56="","",IF(S56="Выкуплен",E56*I56,IF(S56="Возврат",MAX(0,E56-U56)*I56,0)))</x:f>
      </x:c>
      <x:c r="K56" s="55"/>
      <x:c r="L56" s="55"/>
      <x:c r="M56" s="55"/>
      <x:c r="N56" s="55"/>
      <x:c r="O56" s="55"/>
      <x:c r="P56" s="16" t="str">
        <x:f>IF(C56="","",H56-J56-SUM(K56:O56))</x:f>
      </x:c>
      <x:c r="Q56" s="17" t="str">
        <x:f>IF(C56="","",IF(H56=0,"",P56/H56))</x:f>
      </x:c>
      <x:c r="R56" s="17" t="str">
        <x:f>IF(C56="","",IF(J56=0,"",(H56-J56)/J56))</x:f>
      </x:c>
      <x:c r="S56" s="51"/>
      <x:c r="T56" s="51"/>
      <x:c r="U56" s="51"/>
      <x:c r="V56" s="11" t="str">
        <x:f>IF(C56="","",IF(OR(S56="Выкуплен",S56="Возврат"),E56,0))</x:f>
      </x:c>
      <x:c r="W56" s="11" t="str">
        <x:f>IF(C56="","",IF(B56="",0,IF(COUNTIFS($B$5:B56,B56)=1,1,0)))</x:f>
      </x:c>
      <x:c r="X56" s="11" t="str">
        <x:f>IF(C56="","",IF(S56="Выкуплен",W56,0))</x:f>
      </x:c>
      <x:c r="Y56" s="11" t="str">
        <x:f>IF(C56="","",IF(S56="Отменён",W56,0))</x:f>
      </x:c>
      <x:c r="Z56" s="11" t="str">
        <x:f>IF(C56="","",IF(S56="Возврат",W56,0))</x:f>
      </x:c>
      <x:c r="AA56" s="11" t="str">
        <x:f>IF(C56="","",IF(S56="Выкуплен",E56,0))</x:f>
      </x:c>
    </x:row>
    <x:row r="57" ht="23" customHeight="1">
      <x:c r="A57" s="54"/>
      <x:c r="B57" s="51"/>
      <x:c r="C57" s="51"/>
      <x:c r="D57" s="11" t="str">
        <x:f>IF(C57="","",_xlfn.IFNA(INDEX(Products[Товар],MATCH(C57,Products[SKU],0)),"Нет SKU"))</x:f>
      </x:c>
      <x:c r="E57" s="51"/>
      <x:c r="F57" s="55"/>
      <x:c r="G57" s="55"/>
      <x:c r="H57" s="16" t="str">
        <x:f>IF(C57="","",IF(S57="Выкуплен",E57*(F57-G57),0))</x:f>
      </x:c>
      <x:c r="I57" s="55"/>
      <x:c r="J57" s="16" t="str">
        <x:f>IF(C57="","",IF(S57="Выкуплен",E57*I57,IF(S57="Возврат",MAX(0,E57-U57)*I57,0)))</x:f>
      </x:c>
      <x:c r="K57" s="55"/>
      <x:c r="L57" s="55"/>
      <x:c r="M57" s="55"/>
      <x:c r="N57" s="55"/>
      <x:c r="O57" s="55"/>
      <x:c r="P57" s="16" t="str">
        <x:f>IF(C57="","",H57-J57-SUM(K57:O57))</x:f>
      </x:c>
      <x:c r="Q57" s="17" t="str">
        <x:f>IF(C57="","",IF(H57=0,"",P57/H57))</x:f>
      </x:c>
      <x:c r="R57" s="17" t="str">
        <x:f>IF(C57="","",IF(J57=0,"",(H57-J57)/J57))</x:f>
      </x:c>
      <x:c r="S57" s="51"/>
      <x:c r="T57" s="51"/>
      <x:c r="U57" s="51"/>
      <x:c r="V57" s="11" t="str">
        <x:f>IF(C57="","",IF(OR(S57="Выкуплен",S57="Возврат"),E57,0))</x:f>
      </x:c>
      <x:c r="W57" s="11" t="str">
        <x:f>IF(C57="","",IF(B57="",0,IF(COUNTIFS($B$5:B57,B57)=1,1,0)))</x:f>
      </x:c>
      <x:c r="X57" s="11" t="str">
        <x:f>IF(C57="","",IF(S57="Выкуплен",W57,0))</x:f>
      </x:c>
      <x:c r="Y57" s="11" t="str">
        <x:f>IF(C57="","",IF(S57="Отменён",W57,0))</x:f>
      </x:c>
      <x:c r="Z57" s="11" t="str">
        <x:f>IF(C57="","",IF(S57="Возврат",W57,0))</x:f>
      </x:c>
      <x:c r="AA57" s="11" t="str">
        <x:f>IF(C57="","",IF(S57="Выкуплен",E57,0))</x:f>
      </x:c>
    </x:row>
    <x:row r="58" ht="23" customHeight="1">
      <x:c r="A58" s="54"/>
      <x:c r="B58" s="51"/>
      <x:c r="C58" s="51"/>
      <x:c r="D58" s="11" t="str">
        <x:f>IF(C58="","",_xlfn.IFNA(INDEX(Products[Товар],MATCH(C58,Products[SKU],0)),"Нет SKU"))</x:f>
      </x:c>
      <x:c r="E58" s="51"/>
      <x:c r="F58" s="55"/>
      <x:c r="G58" s="55"/>
      <x:c r="H58" s="16" t="str">
        <x:f>IF(C58="","",IF(S58="Выкуплен",E58*(F58-G58),0))</x:f>
      </x:c>
      <x:c r="I58" s="55"/>
      <x:c r="J58" s="16" t="str">
        <x:f>IF(C58="","",IF(S58="Выкуплен",E58*I58,IF(S58="Возврат",MAX(0,E58-U58)*I58,0)))</x:f>
      </x:c>
      <x:c r="K58" s="55"/>
      <x:c r="L58" s="55"/>
      <x:c r="M58" s="55"/>
      <x:c r="N58" s="55"/>
      <x:c r="O58" s="55"/>
      <x:c r="P58" s="16" t="str">
        <x:f>IF(C58="","",H58-J58-SUM(K58:O58))</x:f>
      </x:c>
      <x:c r="Q58" s="17" t="str">
        <x:f>IF(C58="","",IF(H58=0,"",P58/H58))</x:f>
      </x:c>
      <x:c r="R58" s="17" t="str">
        <x:f>IF(C58="","",IF(J58=0,"",(H58-J58)/J58))</x:f>
      </x:c>
      <x:c r="S58" s="51"/>
      <x:c r="T58" s="51"/>
      <x:c r="U58" s="51"/>
      <x:c r="V58" s="11" t="str">
        <x:f>IF(C58="","",IF(OR(S58="Выкуплен",S58="Возврат"),E58,0))</x:f>
      </x:c>
      <x:c r="W58" s="11" t="str">
        <x:f>IF(C58="","",IF(B58="",0,IF(COUNTIFS($B$5:B58,B58)=1,1,0)))</x:f>
      </x:c>
      <x:c r="X58" s="11" t="str">
        <x:f>IF(C58="","",IF(S58="Выкуплен",W58,0))</x:f>
      </x:c>
      <x:c r="Y58" s="11" t="str">
        <x:f>IF(C58="","",IF(S58="Отменён",W58,0))</x:f>
      </x:c>
      <x:c r="Z58" s="11" t="str">
        <x:f>IF(C58="","",IF(S58="Возврат",W58,0))</x:f>
      </x:c>
      <x:c r="AA58" s="11" t="str">
        <x:f>IF(C58="","",IF(S58="Выкуплен",E58,0))</x:f>
      </x:c>
    </x:row>
    <x:row r="59" ht="23" customHeight="1">
      <x:c r="A59" s="54"/>
      <x:c r="B59" s="51"/>
      <x:c r="C59" s="51"/>
      <x:c r="D59" s="11" t="str">
        <x:f>IF(C59="","",_xlfn.IFNA(INDEX(Products[Товар],MATCH(C59,Products[SKU],0)),"Нет SKU"))</x:f>
      </x:c>
      <x:c r="E59" s="51"/>
      <x:c r="F59" s="55"/>
      <x:c r="G59" s="55"/>
      <x:c r="H59" s="16" t="str">
        <x:f>IF(C59="","",IF(S59="Выкуплен",E59*(F59-G59),0))</x:f>
      </x:c>
      <x:c r="I59" s="55"/>
      <x:c r="J59" s="16" t="str">
        <x:f>IF(C59="","",IF(S59="Выкуплен",E59*I59,IF(S59="Возврат",MAX(0,E59-U59)*I59,0)))</x:f>
      </x:c>
      <x:c r="K59" s="55"/>
      <x:c r="L59" s="55"/>
      <x:c r="M59" s="55"/>
      <x:c r="N59" s="55"/>
      <x:c r="O59" s="55"/>
      <x:c r="P59" s="16" t="str">
        <x:f>IF(C59="","",H59-J59-SUM(K59:O59))</x:f>
      </x:c>
      <x:c r="Q59" s="17" t="str">
        <x:f>IF(C59="","",IF(H59=0,"",P59/H59))</x:f>
      </x:c>
      <x:c r="R59" s="17" t="str">
        <x:f>IF(C59="","",IF(J59=0,"",(H59-J59)/J59))</x:f>
      </x:c>
      <x:c r="S59" s="51"/>
      <x:c r="T59" s="51"/>
      <x:c r="U59" s="51"/>
      <x:c r="V59" s="11" t="str">
        <x:f>IF(C59="","",IF(OR(S59="Выкуплен",S59="Возврат"),E59,0))</x:f>
      </x:c>
      <x:c r="W59" s="11" t="str">
        <x:f>IF(C59="","",IF(B59="",0,IF(COUNTIFS($B$5:B59,B59)=1,1,0)))</x:f>
      </x:c>
      <x:c r="X59" s="11" t="str">
        <x:f>IF(C59="","",IF(S59="Выкуплен",W59,0))</x:f>
      </x:c>
      <x:c r="Y59" s="11" t="str">
        <x:f>IF(C59="","",IF(S59="Отменён",W59,0))</x:f>
      </x:c>
      <x:c r="Z59" s="11" t="str">
        <x:f>IF(C59="","",IF(S59="Возврат",W59,0))</x:f>
      </x:c>
      <x:c r="AA59" s="11" t="str">
        <x:f>IF(C59="","",IF(S59="Выкуплен",E59,0))</x:f>
      </x:c>
    </x:row>
    <x:row r="60" ht="23" customHeight="1">
      <x:c r="A60" s="54"/>
      <x:c r="B60" s="51"/>
      <x:c r="C60" s="51"/>
      <x:c r="D60" s="11" t="str">
        <x:f>IF(C60="","",_xlfn.IFNA(INDEX(Products[Товар],MATCH(C60,Products[SKU],0)),"Нет SKU"))</x:f>
      </x:c>
      <x:c r="E60" s="51"/>
      <x:c r="F60" s="55"/>
      <x:c r="G60" s="55"/>
      <x:c r="H60" s="16" t="str">
        <x:f>IF(C60="","",IF(S60="Выкуплен",E60*(F60-G60),0))</x:f>
      </x:c>
      <x:c r="I60" s="55"/>
      <x:c r="J60" s="16" t="str">
        <x:f>IF(C60="","",IF(S60="Выкуплен",E60*I60,IF(S60="Возврат",MAX(0,E60-U60)*I60,0)))</x:f>
      </x:c>
      <x:c r="K60" s="55"/>
      <x:c r="L60" s="55"/>
      <x:c r="M60" s="55"/>
      <x:c r="N60" s="55"/>
      <x:c r="O60" s="55"/>
      <x:c r="P60" s="16" t="str">
        <x:f>IF(C60="","",H60-J60-SUM(K60:O60))</x:f>
      </x:c>
      <x:c r="Q60" s="17" t="str">
        <x:f>IF(C60="","",IF(H60=0,"",P60/H60))</x:f>
      </x:c>
      <x:c r="R60" s="17" t="str">
        <x:f>IF(C60="","",IF(J60=0,"",(H60-J60)/J60))</x:f>
      </x:c>
      <x:c r="S60" s="51"/>
      <x:c r="T60" s="51"/>
      <x:c r="U60" s="51"/>
      <x:c r="V60" s="11" t="str">
        <x:f>IF(C60="","",IF(OR(S60="Выкуплен",S60="Возврат"),E60,0))</x:f>
      </x:c>
      <x:c r="W60" s="11" t="str">
        <x:f>IF(C60="","",IF(B60="",0,IF(COUNTIFS($B$5:B60,B60)=1,1,0)))</x:f>
      </x:c>
      <x:c r="X60" s="11" t="str">
        <x:f>IF(C60="","",IF(S60="Выкуплен",W60,0))</x:f>
      </x:c>
      <x:c r="Y60" s="11" t="str">
        <x:f>IF(C60="","",IF(S60="Отменён",W60,0))</x:f>
      </x:c>
      <x:c r="Z60" s="11" t="str">
        <x:f>IF(C60="","",IF(S60="Возврат",W60,0))</x:f>
      </x:c>
      <x:c r="AA60" s="11" t="str">
        <x:f>IF(C60="","",IF(S60="Выкуплен",E60,0))</x:f>
      </x:c>
    </x:row>
    <x:row r="61" ht="23" customHeight="1">
      <x:c r="A61" s="54"/>
      <x:c r="B61" s="51"/>
      <x:c r="C61" s="51"/>
      <x:c r="D61" s="11" t="str">
        <x:f>IF(C61="","",_xlfn.IFNA(INDEX(Products[Товар],MATCH(C61,Products[SKU],0)),"Нет SKU"))</x:f>
      </x:c>
      <x:c r="E61" s="51"/>
      <x:c r="F61" s="55"/>
      <x:c r="G61" s="55"/>
      <x:c r="H61" s="16" t="str">
        <x:f>IF(C61="","",IF(S61="Выкуплен",E61*(F61-G61),0))</x:f>
      </x:c>
      <x:c r="I61" s="55"/>
      <x:c r="J61" s="16" t="str">
        <x:f>IF(C61="","",IF(S61="Выкуплен",E61*I61,IF(S61="Возврат",MAX(0,E61-U61)*I61,0)))</x:f>
      </x:c>
      <x:c r="K61" s="55"/>
      <x:c r="L61" s="55"/>
      <x:c r="M61" s="55"/>
      <x:c r="N61" s="55"/>
      <x:c r="O61" s="55"/>
      <x:c r="P61" s="16" t="str">
        <x:f>IF(C61="","",H61-J61-SUM(K61:O61))</x:f>
      </x:c>
      <x:c r="Q61" s="17" t="str">
        <x:f>IF(C61="","",IF(H61=0,"",P61/H61))</x:f>
      </x:c>
      <x:c r="R61" s="17" t="str">
        <x:f>IF(C61="","",IF(J61=0,"",(H61-J61)/J61))</x:f>
      </x:c>
      <x:c r="S61" s="51"/>
      <x:c r="T61" s="51"/>
      <x:c r="U61" s="51"/>
      <x:c r="V61" s="11" t="str">
        <x:f>IF(C61="","",IF(OR(S61="Выкуплен",S61="Возврат"),E61,0))</x:f>
      </x:c>
      <x:c r="W61" s="11" t="str">
        <x:f>IF(C61="","",IF(B61="",0,IF(COUNTIFS($B$5:B61,B61)=1,1,0)))</x:f>
      </x:c>
      <x:c r="X61" s="11" t="str">
        <x:f>IF(C61="","",IF(S61="Выкуплен",W61,0))</x:f>
      </x:c>
      <x:c r="Y61" s="11" t="str">
        <x:f>IF(C61="","",IF(S61="Отменён",W61,0))</x:f>
      </x:c>
      <x:c r="Z61" s="11" t="str">
        <x:f>IF(C61="","",IF(S61="Возврат",W61,0))</x:f>
      </x:c>
      <x:c r="AA61" s="11" t="str">
        <x:f>IF(C61="","",IF(S61="Выкуплен",E61,0))</x:f>
      </x:c>
    </x:row>
    <x:row r="62" ht="23" customHeight="1">
      <x:c r="A62" s="54"/>
      <x:c r="B62" s="51"/>
      <x:c r="C62" s="51"/>
      <x:c r="D62" s="11" t="str">
        <x:f>IF(C62="","",_xlfn.IFNA(INDEX(Products[Товар],MATCH(C62,Products[SKU],0)),"Нет SKU"))</x:f>
      </x:c>
      <x:c r="E62" s="51"/>
      <x:c r="F62" s="55"/>
      <x:c r="G62" s="55"/>
      <x:c r="H62" s="16" t="str">
        <x:f>IF(C62="","",IF(S62="Выкуплен",E62*(F62-G62),0))</x:f>
      </x:c>
      <x:c r="I62" s="55"/>
      <x:c r="J62" s="16" t="str">
        <x:f>IF(C62="","",IF(S62="Выкуплен",E62*I62,IF(S62="Возврат",MAX(0,E62-U62)*I62,0)))</x:f>
      </x:c>
      <x:c r="K62" s="55"/>
      <x:c r="L62" s="55"/>
      <x:c r="M62" s="55"/>
      <x:c r="N62" s="55"/>
      <x:c r="O62" s="55"/>
      <x:c r="P62" s="16" t="str">
        <x:f>IF(C62="","",H62-J62-SUM(K62:O62))</x:f>
      </x:c>
      <x:c r="Q62" s="17" t="str">
        <x:f>IF(C62="","",IF(H62=0,"",P62/H62))</x:f>
      </x:c>
      <x:c r="R62" s="17" t="str">
        <x:f>IF(C62="","",IF(J62=0,"",(H62-J62)/J62))</x:f>
      </x:c>
      <x:c r="S62" s="51"/>
      <x:c r="T62" s="51"/>
      <x:c r="U62" s="51"/>
      <x:c r="V62" s="11" t="str">
        <x:f>IF(C62="","",IF(OR(S62="Выкуплен",S62="Возврат"),E62,0))</x:f>
      </x:c>
      <x:c r="W62" s="11" t="str">
        <x:f>IF(C62="","",IF(B62="",0,IF(COUNTIFS($B$5:B62,B62)=1,1,0)))</x:f>
      </x:c>
      <x:c r="X62" s="11" t="str">
        <x:f>IF(C62="","",IF(S62="Выкуплен",W62,0))</x:f>
      </x:c>
      <x:c r="Y62" s="11" t="str">
        <x:f>IF(C62="","",IF(S62="Отменён",W62,0))</x:f>
      </x:c>
      <x:c r="Z62" s="11" t="str">
        <x:f>IF(C62="","",IF(S62="Возврат",W62,0))</x:f>
      </x:c>
      <x:c r="AA62" s="11" t="str">
        <x:f>IF(C62="","",IF(S62="Выкуплен",E62,0))</x:f>
      </x:c>
    </x:row>
    <x:row r="63" ht="23" customHeight="1">
      <x:c r="A63" s="54"/>
      <x:c r="B63" s="51"/>
      <x:c r="C63" s="51"/>
      <x:c r="D63" s="11" t="str">
        <x:f>IF(C63="","",_xlfn.IFNA(INDEX(Products[Товар],MATCH(C63,Products[SKU],0)),"Нет SKU"))</x:f>
      </x:c>
      <x:c r="E63" s="51"/>
      <x:c r="F63" s="55"/>
      <x:c r="G63" s="55"/>
      <x:c r="H63" s="16" t="str">
        <x:f>IF(C63="","",IF(S63="Выкуплен",E63*(F63-G63),0))</x:f>
      </x:c>
      <x:c r="I63" s="55"/>
      <x:c r="J63" s="16" t="str">
        <x:f>IF(C63="","",IF(S63="Выкуплен",E63*I63,IF(S63="Возврат",MAX(0,E63-U63)*I63,0)))</x:f>
      </x:c>
      <x:c r="K63" s="55"/>
      <x:c r="L63" s="55"/>
      <x:c r="M63" s="55"/>
      <x:c r="N63" s="55"/>
      <x:c r="O63" s="55"/>
      <x:c r="P63" s="16" t="str">
        <x:f>IF(C63="","",H63-J63-SUM(K63:O63))</x:f>
      </x:c>
      <x:c r="Q63" s="17" t="str">
        <x:f>IF(C63="","",IF(H63=0,"",P63/H63))</x:f>
      </x:c>
      <x:c r="R63" s="17" t="str">
        <x:f>IF(C63="","",IF(J63=0,"",(H63-J63)/J63))</x:f>
      </x:c>
      <x:c r="S63" s="51"/>
      <x:c r="T63" s="51"/>
      <x:c r="U63" s="51"/>
      <x:c r="V63" s="11" t="str">
        <x:f>IF(C63="","",IF(OR(S63="Выкуплен",S63="Возврат"),E63,0))</x:f>
      </x:c>
      <x:c r="W63" s="11" t="str">
        <x:f>IF(C63="","",IF(B63="",0,IF(COUNTIFS($B$5:B63,B63)=1,1,0)))</x:f>
      </x:c>
      <x:c r="X63" s="11" t="str">
        <x:f>IF(C63="","",IF(S63="Выкуплен",W63,0))</x:f>
      </x:c>
      <x:c r="Y63" s="11" t="str">
        <x:f>IF(C63="","",IF(S63="Отменён",W63,0))</x:f>
      </x:c>
      <x:c r="Z63" s="11" t="str">
        <x:f>IF(C63="","",IF(S63="Возврат",W63,0))</x:f>
      </x:c>
      <x:c r="AA63" s="11" t="str">
        <x:f>IF(C63="","",IF(S63="Выкуплен",E63,0))</x:f>
      </x:c>
    </x:row>
    <x:row r="64" ht="23" customHeight="1">
      <x:c r="A64" s="54"/>
      <x:c r="B64" s="51"/>
      <x:c r="C64" s="51"/>
      <x:c r="D64" s="11" t="str">
        <x:f>IF(C64="","",_xlfn.IFNA(INDEX(Products[Товар],MATCH(C64,Products[SKU],0)),"Нет SKU"))</x:f>
      </x:c>
      <x:c r="E64" s="51"/>
      <x:c r="F64" s="55"/>
      <x:c r="G64" s="55"/>
      <x:c r="H64" s="16" t="str">
        <x:f>IF(C64="","",IF(S64="Выкуплен",E64*(F64-G64),0))</x:f>
      </x:c>
      <x:c r="I64" s="55"/>
      <x:c r="J64" s="16" t="str">
        <x:f>IF(C64="","",IF(S64="Выкуплен",E64*I64,IF(S64="Возврат",MAX(0,E64-U64)*I64,0)))</x:f>
      </x:c>
      <x:c r="K64" s="55"/>
      <x:c r="L64" s="55"/>
      <x:c r="M64" s="55"/>
      <x:c r="N64" s="55"/>
      <x:c r="O64" s="55"/>
      <x:c r="P64" s="16" t="str">
        <x:f>IF(C64="","",H64-J64-SUM(K64:O64))</x:f>
      </x:c>
      <x:c r="Q64" s="17" t="str">
        <x:f>IF(C64="","",IF(H64=0,"",P64/H64))</x:f>
      </x:c>
      <x:c r="R64" s="17" t="str">
        <x:f>IF(C64="","",IF(J64=0,"",(H64-J64)/J64))</x:f>
      </x:c>
      <x:c r="S64" s="51"/>
      <x:c r="T64" s="51"/>
      <x:c r="U64" s="51"/>
      <x:c r="V64" s="11" t="str">
        <x:f>IF(C64="","",IF(OR(S64="Выкуплен",S64="Возврат"),E64,0))</x:f>
      </x:c>
      <x:c r="W64" s="11" t="str">
        <x:f>IF(C64="","",IF(B64="",0,IF(COUNTIFS($B$5:B64,B64)=1,1,0)))</x:f>
      </x:c>
      <x:c r="X64" s="11" t="str">
        <x:f>IF(C64="","",IF(S64="Выкуплен",W64,0))</x:f>
      </x:c>
      <x:c r="Y64" s="11" t="str">
        <x:f>IF(C64="","",IF(S64="Отменён",W64,0))</x:f>
      </x:c>
      <x:c r="Z64" s="11" t="str">
        <x:f>IF(C64="","",IF(S64="Возврат",W64,0))</x:f>
      </x:c>
      <x:c r="AA64" s="11" t="str">
        <x:f>IF(C64="","",IF(S64="Выкуплен",E64,0))</x:f>
      </x:c>
    </x:row>
    <x:row r="65" ht="23" customHeight="1">
      <x:c r="A65" s="54"/>
      <x:c r="B65" s="51"/>
      <x:c r="C65" s="51"/>
      <x:c r="D65" s="11" t="str">
        <x:f>IF(C65="","",_xlfn.IFNA(INDEX(Products[Товар],MATCH(C65,Products[SKU],0)),"Нет SKU"))</x:f>
      </x:c>
      <x:c r="E65" s="51"/>
      <x:c r="F65" s="55"/>
      <x:c r="G65" s="55"/>
      <x:c r="H65" s="16" t="str">
        <x:f>IF(C65="","",IF(S65="Выкуплен",E65*(F65-G65),0))</x:f>
      </x:c>
      <x:c r="I65" s="55"/>
      <x:c r="J65" s="16" t="str">
        <x:f>IF(C65="","",IF(S65="Выкуплен",E65*I65,IF(S65="Возврат",MAX(0,E65-U65)*I65,0)))</x:f>
      </x:c>
      <x:c r="K65" s="55"/>
      <x:c r="L65" s="55"/>
      <x:c r="M65" s="55"/>
      <x:c r="N65" s="55"/>
      <x:c r="O65" s="55"/>
      <x:c r="P65" s="16" t="str">
        <x:f>IF(C65="","",H65-J65-SUM(K65:O65))</x:f>
      </x:c>
      <x:c r="Q65" s="17" t="str">
        <x:f>IF(C65="","",IF(H65=0,"",P65/H65))</x:f>
      </x:c>
      <x:c r="R65" s="17" t="str">
        <x:f>IF(C65="","",IF(J65=0,"",(H65-J65)/J65))</x:f>
      </x:c>
      <x:c r="S65" s="51"/>
      <x:c r="T65" s="51"/>
      <x:c r="U65" s="51"/>
      <x:c r="V65" s="11" t="str">
        <x:f>IF(C65="","",IF(OR(S65="Выкуплен",S65="Возврат"),E65,0))</x:f>
      </x:c>
      <x:c r="W65" s="11" t="str">
        <x:f>IF(C65="","",IF(B65="",0,IF(COUNTIFS($B$5:B65,B65)=1,1,0)))</x:f>
      </x:c>
      <x:c r="X65" s="11" t="str">
        <x:f>IF(C65="","",IF(S65="Выкуплен",W65,0))</x:f>
      </x:c>
      <x:c r="Y65" s="11" t="str">
        <x:f>IF(C65="","",IF(S65="Отменён",W65,0))</x:f>
      </x:c>
      <x:c r="Z65" s="11" t="str">
        <x:f>IF(C65="","",IF(S65="Возврат",W65,0))</x:f>
      </x:c>
      <x:c r="AA65" s="11" t="str">
        <x:f>IF(C65="","",IF(S65="Выкуплен",E65,0))</x:f>
      </x:c>
    </x:row>
    <x:row r="66" ht="23" customHeight="1">
      <x:c r="A66" s="54"/>
      <x:c r="B66" s="51"/>
      <x:c r="C66" s="51"/>
      <x:c r="D66" s="11" t="str">
        <x:f>IF(C66="","",_xlfn.IFNA(INDEX(Products[Товар],MATCH(C66,Products[SKU],0)),"Нет SKU"))</x:f>
      </x:c>
      <x:c r="E66" s="51"/>
      <x:c r="F66" s="55"/>
      <x:c r="G66" s="55"/>
      <x:c r="H66" s="16" t="str">
        <x:f>IF(C66="","",IF(S66="Выкуплен",E66*(F66-G66),0))</x:f>
      </x:c>
      <x:c r="I66" s="55"/>
      <x:c r="J66" s="16" t="str">
        <x:f>IF(C66="","",IF(S66="Выкуплен",E66*I66,IF(S66="Возврат",MAX(0,E66-U66)*I66,0)))</x:f>
      </x:c>
      <x:c r="K66" s="55"/>
      <x:c r="L66" s="55"/>
      <x:c r="M66" s="55"/>
      <x:c r="N66" s="55"/>
      <x:c r="O66" s="55"/>
      <x:c r="P66" s="16" t="str">
        <x:f>IF(C66="","",H66-J66-SUM(K66:O66))</x:f>
      </x:c>
      <x:c r="Q66" s="17" t="str">
        <x:f>IF(C66="","",IF(H66=0,"",P66/H66))</x:f>
      </x:c>
      <x:c r="R66" s="17" t="str">
        <x:f>IF(C66="","",IF(J66=0,"",(H66-J66)/J66))</x:f>
      </x:c>
      <x:c r="S66" s="51"/>
      <x:c r="T66" s="51"/>
      <x:c r="U66" s="51"/>
      <x:c r="V66" s="11" t="str">
        <x:f>IF(C66="","",IF(OR(S66="Выкуплен",S66="Возврат"),E66,0))</x:f>
      </x:c>
      <x:c r="W66" s="11" t="str">
        <x:f>IF(C66="","",IF(B66="",0,IF(COUNTIFS($B$5:B66,B66)=1,1,0)))</x:f>
      </x:c>
      <x:c r="X66" s="11" t="str">
        <x:f>IF(C66="","",IF(S66="Выкуплен",W66,0))</x:f>
      </x:c>
      <x:c r="Y66" s="11" t="str">
        <x:f>IF(C66="","",IF(S66="Отменён",W66,0))</x:f>
      </x:c>
      <x:c r="Z66" s="11" t="str">
        <x:f>IF(C66="","",IF(S66="Возврат",W66,0))</x:f>
      </x:c>
      <x:c r="AA66" s="11" t="str">
        <x:f>IF(C66="","",IF(S66="Выкуплен",E66,0))</x:f>
      </x:c>
    </x:row>
    <x:row r="67" ht="23" customHeight="1">
      <x:c r="A67" s="54"/>
      <x:c r="B67" s="51"/>
      <x:c r="C67" s="51"/>
      <x:c r="D67" s="11" t="str">
        <x:f>IF(C67="","",_xlfn.IFNA(INDEX(Products[Товар],MATCH(C67,Products[SKU],0)),"Нет SKU"))</x:f>
      </x:c>
      <x:c r="E67" s="51"/>
      <x:c r="F67" s="55"/>
      <x:c r="G67" s="55"/>
      <x:c r="H67" s="16" t="str">
        <x:f>IF(C67="","",IF(S67="Выкуплен",E67*(F67-G67),0))</x:f>
      </x:c>
      <x:c r="I67" s="55"/>
      <x:c r="J67" s="16" t="str">
        <x:f>IF(C67="","",IF(S67="Выкуплен",E67*I67,IF(S67="Возврат",MAX(0,E67-U67)*I67,0)))</x:f>
      </x:c>
      <x:c r="K67" s="55"/>
      <x:c r="L67" s="55"/>
      <x:c r="M67" s="55"/>
      <x:c r="N67" s="55"/>
      <x:c r="O67" s="55"/>
      <x:c r="P67" s="16" t="str">
        <x:f>IF(C67="","",H67-J67-SUM(K67:O67))</x:f>
      </x:c>
      <x:c r="Q67" s="17" t="str">
        <x:f>IF(C67="","",IF(H67=0,"",P67/H67))</x:f>
      </x:c>
      <x:c r="R67" s="17" t="str">
        <x:f>IF(C67="","",IF(J67=0,"",(H67-J67)/J67))</x:f>
      </x:c>
      <x:c r="S67" s="51"/>
      <x:c r="T67" s="51"/>
      <x:c r="U67" s="51"/>
      <x:c r="V67" s="11" t="str">
        <x:f>IF(C67="","",IF(OR(S67="Выкуплен",S67="Возврат"),E67,0))</x:f>
      </x:c>
      <x:c r="W67" s="11" t="str">
        <x:f>IF(C67="","",IF(B67="",0,IF(COUNTIFS($B$5:B67,B67)=1,1,0)))</x:f>
      </x:c>
      <x:c r="X67" s="11" t="str">
        <x:f>IF(C67="","",IF(S67="Выкуплен",W67,0))</x:f>
      </x:c>
      <x:c r="Y67" s="11" t="str">
        <x:f>IF(C67="","",IF(S67="Отменён",W67,0))</x:f>
      </x:c>
      <x:c r="Z67" s="11" t="str">
        <x:f>IF(C67="","",IF(S67="Возврат",W67,0))</x:f>
      </x:c>
      <x:c r="AA67" s="11" t="str">
        <x:f>IF(C67="","",IF(S67="Выкуплен",E67,0))</x:f>
      </x:c>
    </x:row>
    <x:row r="68" ht="23" customHeight="1">
      <x:c r="A68" s="54"/>
      <x:c r="B68" s="51"/>
      <x:c r="C68" s="51"/>
      <x:c r="D68" s="11" t="str">
        <x:f>IF(C68="","",_xlfn.IFNA(INDEX(Products[Товар],MATCH(C68,Products[SKU],0)),"Нет SKU"))</x:f>
      </x:c>
      <x:c r="E68" s="51"/>
      <x:c r="F68" s="55"/>
      <x:c r="G68" s="55"/>
      <x:c r="H68" s="16" t="str">
        <x:f>IF(C68="","",IF(S68="Выкуплен",E68*(F68-G68),0))</x:f>
      </x:c>
      <x:c r="I68" s="55"/>
      <x:c r="J68" s="16" t="str">
        <x:f>IF(C68="","",IF(S68="Выкуплен",E68*I68,IF(S68="Возврат",MAX(0,E68-U68)*I68,0)))</x:f>
      </x:c>
      <x:c r="K68" s="55"/>
      <x:c r="L68" s="55"/>
      <x:c r="M68" s="55"/>
      <x:c r="N68" s="55"/>
      <x:c r="O68" s="55"/>
      <x:c r="P68" s="16" t="str">
        <x:f>IF(C68="","",H68-J68-SUM(K68:O68))</x:f>
      </x:c>
      <x:c r="Q68" s="17" t="str">
        <x:f>IF(C68="","",IF(H68=0,"",P68/H68))</x:f>
      </x:c>
      <x:c r="R68" s="17" t="str">
        <x:f>IF(C68="","",IF(J68=0,"",(H68-J68)/J68))</x:f>
      </x:c>
      <x:c r="S68" s="51"/>
      <x:c r="T68" s="51"/>
      <x:c r="U68" s="51"/>
      <x:c r="V68" s="11" t="str">
        <x:f>IF(C68="","",IF(OR(S68="Выкуплен",S68="Возврат"),E68,0))</x:f>
      </x:c>
      <x:c r="W68" s="11" t="str">
        <x:f>IF(C68="","",IF(B68="",0,IF(COUNTIFS($B$5:B68,B68)=1,1,0)))</x:f>
      </x:c>
      <x:c r="X68" s="11" t="str">
        <x:f>IF(C68="","",IF(S68="Выкуплен",W68,0))</x:f>
      </x:c>
      <x:c r="Y68" s="11" t="str">
        <x:f>IF(C68="","",IF(S68="Отменён",W68,0))</x:f>
      </x:c>
      <x:c r="Z68" s="11" t="str">
        <x:f>IF(C68="","",IF(S68="Возврат",W68,0))</x:f>
      </x:c>
      <x:c r="AA68" s="11" t="str">
        <x:f>IF(C68="","",IF(S68="Выкуплен",E68,0))</x:f>
      </x:c>
    </x:row>
    <x:row r="69" ht="23" customHeight="1">
      <x:c r="A69" s="54"/>
      <x:c r="B69" s="51"/>
      <x:c r="C69" s="51"/>
      <x:c r="D69" s="11" t="str">
        <x:f>IF(C69="","",_xlfn.IFNA(INDEX(Products[Товар],MATCH(C69,Products[SKU],0)),"Нет SKU"))</x:f>
      </x:c>
      <x:c r="E69" s="51"/>
      <x:c r="F69" s="55"/>
      <x:c r="G69" s="55"/>
      <x:c r="H69" s="16" t="str">
        <x:f>IF(C69="","",IF(S69="Выкуплен",E69*(F69-G69),0))</x:f>
      </x:c>
      <x:c r="I69" s="55"/>
      <x:c r="J69" s="16" t="str">
        <x:f>IF(C69="","",IF(S69="Выкуплен",E69*I69,IF(S69="Возврат",MAX(0,E69-U69)*I69,0)))</x:f>
      </x:c>
      <x:c r="K69" s="55"/>
      <x:c r="L69" s="55"/>
      <x:c r="M69" s="55"/>
      <x:c r="N69" s="55"/>
      <x:c r="O69" s="55"/>
      <x:c r="P69" s="16" t="str">
        <x:f>IF(C69="","",H69-J69-SUM(K69:O69))</x:f>
      </x:c>
      <x:c r="Q69" s="17" t="str">
        <x:f>IF(C69="","",IF(H69=0,"",P69/H69))</x:f>
      </x:c>
      <x:c r="R69" s="17" t="str">
        <x:f>IF(C69="","",IF(J69=0,"",(H69-J69)/J69))</x:f>
      </x:c>
      <x:c r="S69" s="51"/>
      <x:c r="T69" s="51"/>
      <x:c r="U69" s="51"/>
      <x:c r="V69" s="11" t="str">
        <x:f>IF(C69="","",IF(OR(S69="Выкуплен",S69="Возврат"),E69,0))</x:f>
      </x:c>
      <x:c r="W69" s="11" t="str">
        <x:f>IF(C69="","",IF(B69="",0,IF(COUNTIFS($B$5:B69,B69)=1,1,0)))</x:f>
      </x:c>
      <x:c r="X69" s="11" t="str">
        <x:f>IF(C69="","",IF(S69="Выкуплен",W69,0))</x:f>
      </x:c>
      <x:c r="Y69" s="11" t="str">
        <x:f>IF(C69="","",IF(S69="Отменён",W69,0))</x:f>
      </x:c>
      <x:c r="Z69" s="11" t="str">
        <x:f>IF(C69="","",IF(S69="Возврат",W69,0))</x:f>
      </x:c>
      <x:c r="AA69" s="11" t="str">
        <x:f>IF(C69="","",IF(S69="Выкуплен",E69,0))</x:f>
      </x:c>
    </x:row>
    <x:row r="70" ht="23" customHeight="1">
      <x:c r="A70" s="54"/>
      <x:c r="B70" s="51"/>
      <x:c r="C70" s="51"/>
      <x:c r="D70" s="11" t="str">
        <x:f>IF(C70="","",_xlfn.IFNA(INDEX(Products[Товар],MATCH(C70,Products[SKU],0)),"Нет SKU"))</x:f>
      </x:c>
      <x:c r="E70" s="51"/>
      <x:c r="F70" s="55"/>
      <x:c r="G70" s="55"/>
      <x:c r="H70" s="16" t="str">
        <x:f>IF(C70="","",IF(S70="Выкуплен",E70*(F70-G70),0))</x:f>
      </x:c>
      <x:c r="I70" s="55"/>
      <x:c r="J70" s="16" t="str">
        <x:f>IF(C70="","",IF(S70="Выкуплен",E70*I70,IF(S70="Возврат",MAX(0,E70-U70)*I70,0)))</x:f>
      </x:c>
      <x:c r="K70" s="55"/>
      <x:c r="L70" s="55"/>
      <x:c r="M70" s="55"/>
      <x:c r="N70" s="55"/>
      <x:c r="O70" s="55"/>
      <x:c r="P70" s="16" t="str">
        <x:f>IF(C70="","",H70-J70-SUM(K70:O70))</x:f>
      </x:c>
      <x:c r="Q70" s="17" t="str">
        <x:f>IF(C70="","",IF(H70=0,"",P70/H70))</x:f>
      </x:c>
      <x:c r="R70" s="17" t="str">
        <x:f>IF(C70="","",IF(J70=0,"",(H70-J70)/J70))</x:f>
      </x:c>
      <x:c r="S70" s="51"/>
      <x:c r="T70" s="51"/>
      <x:c r="U70" s="51"/>
      <x:c r="V70" s="11" t="str">
        <x:f>IF(C70="","",IF(OR(S70="Выкуплен",S70="Возврат"),E70,0))</x:f>
      </x:c>
      <x:c r="W70" s="11" t="str">
        <x:f>IF(C70="","",IF(B70="",0,IF(COUNTIFS($B$5:B70,B70)=1,1,0)))</x:f>
      </x:c>
      <x:c r="X70" s="11" t="str">
        <x:f>IF(C70="","",IF(S70="Выкуплен",W70,0))</x:f>
      </x:c>
      <x:c r="Y70" s="11" t="str">
        <x:f>IF(C70="","",IF(S70="Отменён",W70,0))</x:f>
      </x:c>
      <x:c r="Z70" s="11" t="str">
        <x:f>IF(C70="","",IF(S70="Возврат",W70,0))</x:f>
      </x:c>
      <x:c r="AA70" s="11" t="str">
        <x:f>IF(C70="","",IF(S70="Выкуплен",E70,0))</x:f>
      </x:c>
    </x:row>
    <x:row r="71" ht="23" customHeight="1">
      <x:c r="A71" s="54"/>
      <x:c r="B71" s="51"/>
      <x:c r="C71" s="51"/>
      <x:c r="D71" s="11" t="str">
        <x:f>IF(C71="","",_xlfn.IFNA(INDEX(Products[Товар],MATCH(C71,Products[SKU],0)),"Нет SKU"))</x:f>
      </x:c>
      <x:c r="E71" s="51"/>
      <x:c r="F71" s="55"/>
      <x:c r="G71" s="55"/>
      <x:c r="H71" s="16" t="str">
        <x:f>IF(C71="","",IF(S71="Выкуплен",E71*(F71-G71),0))</x:f>
      </x:c>
      <x:c r="I71" s="55"/>
      <x:c r="J71" s="16" t="str">
        <x:f>IF(C71="","",IF(S71="Выкуплен",E71*I71,IF(S71="Возврат",MAX(0,E71-U71)*I71,0)))</x:f>
      </x:c>
      <x:c r="K71" s="55"/>
      <x:c r="L71" s="55"/>
      <x:c r="M71" s="55"/>
      <x:c r="N71" s="55"/>
      <x:c r="O71" s="55"/>
      <x:c r="P71" s="16" t="str">
        <x:f>IF(C71="","",H71-J71-SUM(K71:O71))</x:f>
      </x:c>
      <x:c r="Q71" s="17" t="str">
        <x:f>IF(C71="","",IF(H71=0,"",P71/H71))</x:f>
      </x:c>
      <x:c r="R71" s="17" t="str">
        <x:f>IF(C71="","",IF(J71=0,"",(H71-J71)/J71))</x:f>
      </x:c>
      <x:c r="S71" s="51"/>
      <x:c r="T71" s="51"/>
      <x:c r="U71" s="51"/>
      <x:c r="V71" s="11" t="str">
        <x:f>IF(C71="","",IF(OR(S71="Выкуплен",S71="Возврат"),E71,0))</x:f>
      </x:c>
      <x:c r="W71" s="11" t="str">
        <x:f>IF(C71="","",IF(B71="",0,IF(COUNTIFS($B$5:B71,B71)=1,1,0)))</x:f>
      </x:c>
      <x:c r="X71" s="11" t="str">
        <x:f>IF(C71="","",IF(S71="Выкуплен",W71,0))</x:f>
      </x:c>
      <x:c r="Y71" s="11" t="str">
        <x:f>IF(C71="","",IF(S71="Отменён",W71,0))</x:f>
      </x:c>
      <x:c r="Z71" s="11" t="str">
        <x:f>IF(C71="","",IF(S71="Возврат",W71,0))</x:f>
      </x:c>
      <x:c r="AA71" s="11" t="str">
        <x:f>IF(C71="","",IF(S71="Выкуплен",E71,0))</x:f>
      </x:c>
    </x:row>
    <x:row r="72" ht="23" customHeight="1">
      <x:c r="A72" s="54"/>
      <x:c r="B72" s="51"/>
      <x:c r="C72" s="51"/>
      <x:c r="D72" s="11" t="str">
        <x:f>IF(C72="","",_xlfn.IFNA(INDEX(Products[Товар],MATCH(C72,Products[SKU],0)),"Нет SKU"))</x:f>
      </x:c>
      <x:c r="E72" s="51"/>
      <x:c r="F72" s="55"/>
      <x:c r="G72" s="55"/>
      <x:c r="H72" s="16" t="str">
        <x:f>IF(C72="","",IF(S72="Выкуплен",E72*(F72-G72),0))</x:f>
      </x:c>
      <x:c r="I72" s="55"/>
      <x:c r="J72" s="16" t="str">
        <x:f>IF(C72="","",IF(S72="Выкуплен",E72*I72,IF(S72="Возврат",MAX(0,E72-U72)*I72,0)))</x:f>
      </x:c>
      <x:c r="K72" s="55"/>
      <x:c r="L72" s="55"/>
      <x:c r="M72" s="55"/>
      <x:c r="N72" s="55"/>
      <x:c r="O72" s="55"/>
      <x:c r="P72" s="16" t="str">
        <x:f>IF(C72="","",H72-J72-SUM(K72:O72))</x:f>
      </x:c>
      <x:c r="Q72" s="17" t="str">
        <x:f>IF(C72="","",IF(H72=0,"",P72/H72))</x:f>
      </x:c>
      <x:c r="R72" s="17" t="str">
        <x:f>IF(C72="","",IF(J72=0,"",(H72-J72)/J72))</x:f>
      </x:c>
      <x:c r="S72" s="51"/>
      <x:c r="T72" s="51"/>
      <x:c r="U72" s="51"/>
      <x:c r="V72" s="11" t="str">
        <x:f>IF(C72="","",IF(OR(S72="Выкуплен",S72="Возврат"),E72,0))</x:f>
      </x:c>
      <x:c r="W72" s="11" t="str">
        <x:f>IF(C72="","",IF(B72="",0,IF(COUNTIFS($B$5:B72,B72)=1,1,0)))</x:f>
      </x:c>
      <x:c r="X72" s="11" t="str">
        <x:f>IF(C72="","",IF(S72="Выкуплен",W72,0))</x:f>
      </x:c>
      <x:c r="Y72" s="11" t="str">
        <x:f>IF(C72="","",IF(S72="Отменён",W72,0))</x:f>
      </x:c>
      <x:c r="Z72" s="11" t="str">
        <x:f>IF(C72="","",IF(S72="Возврат",W72,0))</x:f>
      </x:c>
      <x:c r="AA72" s="11" t="str">
        <x:f>IF(C72="","",IF(S72="Выкуплен",E72,0))</x:f>
      </x:c>
    </x:row>
    <x:row r="73" ht="23" customHeight="1">
      <x:c r="A73" s="54"/>
      <x:c r="B73" s="51"/>
      <x:c r="C73" s="51"/>
      <x:c r="D73" s="11" t="str">
        <x:f>IF(C73="","",_xlfn.IFNA(INDEX(Products[Товар],MATCH(C73,Products[SKU],0)),"Нет SKU"))</x:f>
      </x:c>
      <x:c r="E73" s="51"/>
      <x:c r="F73" s="55"/>
      <x:c r="G73" s="55"/>
      <x:c r="H73" s="16" t="str">
        <x:f>IF(C73="","",IF(S73="Выкуплен",E73*(F73-G73),0))</x:f>
      </x:c>
      <x:c r="I73" s="55"/>
      <x:c r="J73" s="16" t="str">
        <x:f>IF(C73="","",IF(S73="Выкуплен",E73*I73,IF(S73="Возврат",MAX(0,E73-U73)*I73,0)))</x:f>
      </x:c>
      <x:c r="K73" s="55"/>
      <x:c r="L73" s="55"/>
      <x:c r="M73" s="55"/>
      <x:c r="N73" s="55"/>
      <x:c r="O73" s="55"/>
      <x:c r="P73" s="16" t="str">
        <x:f>IF(C73="","",H73-J73-SUM(K73:O73))</x:f>
      </x:c>
      <x:c r="Q73" s="17" t="str">
        <x:f>IF(C73="","",IF(H73=0,"",P73/H73))</x:f>
      </x:c>
      <x:c r="R73" s="17" t="str">
        <x:f>IF(C73="","",IF(J73=0,"",(H73-J73)/J73))</x:f>
      </x:c>
      <x:c r="S73" s="51"/>
      <x:c r="T73" s="51"/>
      <x:c r="U73" s="51"/>
      <x:c r="V73" s="11" t="str">
        <x:f>IF(C73="","",IF(OR(S73="Выкуплен",S73="Возврат"),E73,0))</x:f>
      </x:c>
      <x:c r="W73" s="11" t="str">
        <x:f>IF(C73="","",IF(B73="",0,IF(COUNTIFS($B$5:B73,B73)=1,1,0)))</x:f>
      </x:c>
      <x:c r="X73" s="11" t="str">
        <x:f>IF(C73="","",IF(S73="Выкуплен",W73,0))</x:f>
      </x:c>
      <x:c r="Y73" s="11" t="str">
        <x:f>IF(C73="","",IF(S73="Отменён",W73,0))</x:f>
      </x:c>
      <x:c r="Z73" s="11" t="str">
        <x:f>IF(C73="","",IF(S73="Возврат",W73,0))</x:f>
      </x:c>
      <x:c r="AA73" s="11" t="str">
        <x:f>IF(C73="","",IF(S73="Выкуплен",E73,0))</x:f>
      </x:c>
    </x:row>
    <x:row r="74" ht="23" customHeight="1">
      <x:c r="A74" s="54"/>
      <x:c r="B74" s="51"/>
      <x:c r="C74" s="51"/>
      <x:c r="D74" s="11" t="str">
        <x:f>IF(C74="","",_xlfn.IFNA(INDEX(Products[Товар],MATCH(C74,Products[SKU],0)),"Нет SKU"))</x:f>
      </x:c>
      <x:c r="E74" s="51"/>
      <x:c r="F74" s="55"/>
      <x:c r="G74" s="55"/>
      <x:c r="H74" s="16" t="str">
        <x:f>IF(C74="","",IF(S74="Выкуплен",E74*(F74-G74),0))</x:f>
      </x:c>
      <x:c r="I74" s="55"/>
      <x:c r="J74" s="16" t="str">
        <x:f>IF(C74="","",IF(S74="Выкуплен",E74*I74,IF(S74="Возврат",MAX(0,E74-U74)*I74,0)))</x:f>
      </x:c>
      <x:c r="K74" s="55"/>
      <x:c r="L74" s="55"/>
      <x:c r="M74" s="55"/>
      <x:c r="N74" s="55"/>
      <x:c r="O74" s="55"/>
      <x:c r="P74" s="16" t="str">
        <x:f>IF(C74="","",H74-J74-SUM(K74:O74))</x:f>
      </x:c>
      <x:c r="Q74" s="17" t="str">
        <x:f>IF(C74="","",IF(H74=0,"",P74/H74))</x:f>
      </x:c>
      <x:c r="R74" s="17" t="str">
        <x:f>IF(C74="","",IF(J74=0,"",(H74-J74)/J74))</x:f>
      </x:c>
      <x:c r="S74" s="51"/>
      <x:c r="T74" s="51"/>
      <x:c r="U74" s="51"/>
      <x:c r="V74" s="11" t="str">
        <x:f>IF(C74="","",IF(OR(S74="Выкуплен",S74="Возврат"),E74,0))</x:f>
      </x:c>
      <x:c r="W74" s="11" t="str">
        <x:f>IF(C74="","",IF(B74="",0,IF(COUNTIFS($B$5:B74,B74)=1,1,0)))</x:f>
      </x:c>
      <x:c r="X74" s="11" t="str">
        <x:f>IF(C74="","",IF(S74="Выкуплен",W74,0))</x:f>
      </x:c>
      <x:c r="Y74" s="11" t="str">
        <x:f>IF(C74="","",IF(S74="Отменён",W74,0))</x:f>
      </x:c>
      <x:c r="Z74" s="11" t="str">
        <x:f>IF(C74="","",IF(S74="Возврат",W74,0))</x:f>
      </x:c>
      <x:c r="AA74" s="11" t="str">
        <x:f>IF(C74="","",IF(S74="Выкуплен",E74,0))</x:f>
      </x:c>
    </x:row>
    <x:row r="75" ht="23" customHeight="1">
      <x:c r="A75" s="54"/>
      <x:c r="B75" s="51"/>
      <x:c r="C75" s="51"/>
      <x:c r="D75" s="11" t="str">
        <x:f>IF(C75="","",_xlfn.IFNA(INDEX(Products[Товар],MATCH(C75,Products[SKU],0)),"Нет SKU"))</x:f>
      </x:c>
      <x:c r="E75" s="51"/>
      <x:c r="F75" s="55"/>
      <x:c r="G75" s="55"/>
      <x:c r="H75" s="16" t="str">
        <x:f>IF(C75="","",IF(S75="Выкуплен",E75*(F75-G75),0))</x:f>
      </x:c>
      <x:c r="I75" s="55"/>
      <x:c r="J75" s="16" t="str">
        <x:f>IF(C75="","",IF(S75="Выкуплен",E75*I75,IF(S75="Возврат",MAX(0,E75-U75)*I75,0)))</x:f>
      </x:c>
      <x:c r="K75" s="55"/>
      <x:c r="L75" s="55"/>
      <x:c r="M75" s="55"/>
      <x:c r="N75" s="55"/>
      <x:c r="O75" s="55"/>
      <x:c r="P75" s="16" t="str">
        <x:f>IF(C75="","",H75-J75-SUM(K75:O75))</x:f>
      </x:c>
      <x:c r="Q75" s="17" t="str">
        <x:f>IF(C75="","",IF(H75=0,"",P75/H75))</x:f>
      </x:c>
      <x:c r="R75" s="17" t="str">
        <x:f>IF(C75="","",IF(J75=0,"",(H75-J75)/J75))</x:f>
      </x:c>
      <x:c r="S75" s="51"/>
      <x:c r="T75" s="51"/>
      <x:c r="U75" s="51"/>
      <x:c r="V75" s="11" t="str">
        <x:f>IF(C75="","",IF(OR(S75="Выкуплен",S75="Возврат"),E75,0))</x:f>
      </x:c>
      <x:c r="W75" s="11" t="str">
        <x:f>IF(C75="","",IF(B75="",0,IF(COUNTIFS($B$5:B75,B75)=1,1,0)))</x:f>
      </x:c>
      <x:c r="X75" s="11" t="str">
        <x:f>IF(C75="","",IF(S75="Выкуплен",W75,0))</x:f>
      </x:c>
      <x:c r="Y75" s="11" t="str">
        <x:f>IF(C75="","",IF(S75="Отменён",W75,0))</x:f>
      </x:c>
      <x:c r="Z75" s="11" t="str">
        <x:f>IF(C75="","",IF(S75="Возврат",W75,0))</x:f>
      </x:c>
      <x:c r="AA75" s="11" t="str">
        <x:f>IF(C75="","",IF(S75="Выкуплен",E75,0))</x:f>
      </x:c>
    </x:row>
    <x:row r="76" ht="23" customHeight="1">
      <x:c r="A76" s="54"/>
      <x:c r="B76" s="51"/>
      <x:c r="C76" s="51"/>
      <x:c r="D76" s="11" t="str">
        <x:f>IF(C76="","",_xlfn.IFNA(INDEX(Products[Товар],MATCH(C76,Products[SKU],0)),"Нет SKU"))</x:f>
      </x:c>
      <x:c r="E76" s="51"/>
      <x:c r="F76" s="55"/>
      <x:c r="G76" s="55"/>
      <x:c r="H76" s="16" t="str">
        <x:f>IF(C76="","",IF(S76="Выкуплен",E76*(F76-G76),0))</x:f>
      </x:c>
      <x:c r="I76" s="55"/>
      <x:c r="J76" s="16" t="str">
        <x:f>IF(C76="","",IF(S76="Выкуплен",E76*I76,IF(S76="Возврат",MAX(0,E76-U76)*I76,0)))</x:f>
      </x:c>
      <x:c r="K76" s="55"/>
      <x:c r="L76" s="55"/>
      <x:c r="M76" s="55"/>
      <x:c r="N76" s="55"/>
      <x:c r="O76" s="55"/>
      <x:c r="P76" s="16" t="str">
        <x:f>IF(C76="","",H76-J76-SUM(K76:O76))</x:f>
      </x:c>
      <x:c r="Q76" s="17" t="str">
        <x:f>IF(C76="","",IF(H76=0,"",P76/H76))</x:f>
      </x:c>
      <x:c r="R76" s="17" t="str">
        <x:f>IF(C76="","",IF(J76=0,"",(H76-J76)/J76))</x:f>
      </x:c>
      <x:c r="S76" s="51"/>
      <x:c r="T76" s="51"/>
      <x:c r="U76" s="51"/>
      <x:c r="V76" s="11" t="str">
        <x:f>IF(C76="","",IF(OR(S76="Выкуплен",S76="Возврат"),E76,0))</x:f>
      </x:c>
      <x:c r="W76" s="11" t="str">
        <x:f>IF(C76="","",IF(B76="",0,IF(COUNTIFS($B$5:B76,B76)=1,1,0)))</x:f>
      </x:c>
      <x:c r="X76" s="11" t="str">
        <x:f>IF(C76="","",IF(S76="Выкуплен",W76,0))</x:f>
      </x:c>
      <x:c r="Y76" s="11" t="str">
        <x:f>IF(C76="","",IF(S76="Отменён",W76,0))</x:f>
      </x:c>
      <x:c r="Z76" s="11" t="str">
        <x:f>IF(C76="","",IF(S76="Возврат",W76,0))</x:f>
      </x:c>
      <x:c r="AA76" s="11" t="str">
        <x:f>IF(C76="","",IF(S76="Выкуплен",E76,0))</x:f>
      </x:c>
    </x:row>
    <x:row r="77" ht="23" customHeight="1">
      <x:c r="A77" s="54"/>
      <x:c r="B77" s="51"/>
      <x:c r="C77" s="51"/>
      <x:c r="D77" s="11" t="str">
        <x:f>IF(C77="","",_xlfn.IFNA(INDEX(Products[Товар],MATCH(C77,Products[SKU],0)),"Нет SKU"))</x:f>
      </x:c>
      <x:c r="E77" s="51"/>
      <x:c r="F77" s="55"/>
      <x:c r="G77" s="55"/>
      <x:c r="H77" s="16" t="str">
        <x:f>IF(C77="","",IF(S77="Выкуплен",E77*(F77-G77),0))</x:f>
      </x:c>
      <x:c r="I77" s="55"/>
      <x:c r="J77" s="16" t="str">
        <x:f>IF(C77="","",IF(S77="Выкуплен",E77*I77,IF(S77="Возврат",MAX(0,E77-U77)*I77,0)))</x:f>
      </x:c>
      <x:c r="K77" s="55"/>
      <x:c r="L77" s="55"/>
      <x:c r="M77" s="55"/>
      <x:c r="N77" s="55"/>
      <x:c r="O77" s="55"/>
      <x:c r="P77" s="16" t="str">
        <x:f>IF(C77="","",H77-J77-SUM(K77:O77))</x:f>
      </x:c>
      <x:c r="Q77" s="17" t="str">
        <x:f>IF(C77="","",IF(H77=0,"",P77/H77))</x:f>
      </x:c>
      <x:c r="R77" s="17" t="str">
        <x:f>IF(C77="","",IF(J77=0,"",(H77-J77)/J77))</x:f>
      </x:c>
      <x:c r="S77" s="51"/>
      <x:c r="T77" s="51"/>
      <x:c r="U77" s="51"/>
      <x:c r="V77" s="11" t="str">
        <x:f>IF(C77="","",IF(OR(S77="Выкуплен",S77="Возврат"),E77,0))</x:f>
      </x:c>
      <x:c r="W77" s="11" t="str">
        <x:f>IF(C77="","",IF(B77="",0,IF(COUNTIFS($B$5:B77,B77)=1,1,0)))</x:f>
      </x:c>
      <x:c r="X77" s="11" t="str">
        <x:f>IF(C77="","",IF(S77="Выкуплен",W77,0))</x:f>
      </x:c>
      <x:c r="Y77" s="11" t="str">
        <x:f>IF(C77="","",IF(S77="Отменён",W77,0))</x:f>
      </x:c>
      <x:c r="Z77" s="11" t="str">
        <x:f>IF(C77="","",IF(S77="Возврат",W77,0))</x:f>
      </x:c>
      <x:c r="AA77" s="11" t="str">
        <x:f>IF(C77="","",IF(S77="Выкуплен",E77,0))</x:f>
      </x:c>
    </x:row>
    <x:row r="78" ht="23" customHeight="1">
      <x:c r="A78" s="54"/>
      <x:c r="B78" s="51"/>
      <x:c r="C78" s="51"/>
      <x:c r="D78" s="11" t="str">
        <x:f>IF(C78="","",_xlfn.IFNA(INDEX(Products[Товар],MATCH(C78,Products[SKU],0)),"Нет SKU"))</x:f>
      </x:c>
      <x:c r="E78" s="51"/>
      <x:c r="F78" s="55"/>
      <x:c r="G78" s="55"/>
      <x:c r="H78" s="16" t="str">
        <x:f>IF(C78="","",IF(S78="Выкуплен",E78*(F78-G78),0))</x:f>
      </x:c>
      <x:c r="I78" s="55"/>
      <x:c r="J78" s="16" t="str">
        <x:f>IF(C78="","",IF(S78="Выкуплен",E78*I78,IF(S78="Возврат",MAX(0,E78-U78)*I78,0)))</x:f>
      </x:c>
      <x:c r="K78" s="55"/>
      <x:c r="L78" s="55"/>
      <x:c r="M78" s="55"/>
      <x:c r="N78" s="55"/>
      <x:c r="O78" s="55"/>
      <x:c r="P78" s="16" t="str">
        <x:f>IF(C78="","",H78-J78-SUM(K78:O78))</x:f>
      </x:c>
      <x:c r="Q78" s="17" t="str">
        <x:f>IF(C78="","",IF(H78=0,"",P78/H78))</x:f>
      </x:c>
      <x:c r="R78" s="17" t="str">
        <x:f>IF(C78="","",IF(J78=0,"",(H78-J78)/J78))</x:f>
      </x:c>
      <x:c r="S78" s="51"/>
      <x:c r="T78" s="51"/>
      <x:c r="U78" s="51"/>
      <x:c r="V78" s="11" t="str">
        <x:f>IF(C78="","",IF(OR(S78="Выкуплен",S78="Возврат"),E78,0))</x:f>
      </x:c>
      <x:c r="W78" s="11" t="str">
        <x:f>IF(C78="","",IF(B78="",0,IF(COUNTIFS($B$5:B78,B78)=1,1,0)))</x:f>
      </x:c>
      <x:c r="X78" s="11" t="str">
        <x:f>IF(C78="","",IF(S78="Выкуплен",W78,0))</x:f>
      </x:c>
      <x:c r="Y78" s="11" t="str">
        <x:f>IF(C78="","",IF(S78="Отменён",W78,0))</x:f>
      </x:c>
      <x:c r="Z78" s="11" t="str">
        <x:f>IF(C78="","",IF(S78="Возврат",W78,0))</x:f>
      </x:c>
      <x:c r="AA78" s="11" t="str">
        <x:f>IF(C78="","",IF(S78="Выкуплен",E78,0))</x:f>
      </x:c>
    </x:row>
    <x:row r="79" ht="23" customHeight="1">
      <x:c r="A79" s="54"/>
      <x:c r="B79" s="51"/>
      <x:c r="C79" s="51"/>
      <x:c r="D79" s="11" t="str">
        <x:f>IF(C79="","",_xlfn.IFNA(INDEX(Products[Товар],MATCH(C79,Products[SKU],0)),"Нет SKU"))</x:f>
      </x:c>
      <x:c r="E79" s="51"/>
      <x:c r="F79" s="55"/>
      <x:c r="G79" s="55"/>
      <x:c r="H79" s="16" t="str">
        <x:f>IF(C79="","",IF(S79="Выкуплен",E79*(F79-G79),0))</x:f>
      </x:c>
      <x:c r="I79" s="55"/>
      <x:c r="J79" s="16" t="str">
        <x:f>IF(C79="","",IF(S79="Выкуплен",E79*I79,IF(S79="Возврат",MAX(0,E79-U79)*I79,0)))</x:f>
      </x:c>
      <x:c r="K79" s="55"/>
      <x:c r="L79" s="55"/>
      <x:c r="M79" s="55"/>
      <x:c r="N79" s="55"/>
      <x:c r="O79" s="55"/>
      <x:c r="P79" s="16" t="str">
        <x:f>IF(C79="","",H79-J79-SUM(K79:O79))</x:f>
      </x:c>
      <x:c r="Q79" s="17" t="str">
        <x:f>IF(C79="","",IF(H79=0,"",P79/H79))</x:f>
      </x:c>
      <x:c r="R79" s="17" t="str">
        <x:f>IF(C79="","",IF(J79=0,"",(H79-J79)/J79))</x:f>
      </x:c>
      <x:c r="S79" s="51"/>
      <x:c r="T79" s="51"/>
      <x:c r="U79" s="51"/>
      <x:c r="V79" s="11" t="str">
        <x:f>IF(C79="","",IF(OR(S79="Выкуплен",S79="Возврат"),E79,0))</x:f>
      </x:c>
      <x:c r="W79" s="11" t="str">
        <x:f>IF(C79="","",IF(B79="",0,IF(COUNTIFS($B$5:B79,B79)=1,1,0)))</x:f>
      </x:c>
      <x:c r="X79" s="11" t="str">
        <x:f>IF(C79="","",IF(S79="Выкуплен",W79,0))</x:f>
      </x:c>
      <x:c r="Y79" s="11" t="str">
        <x:f>IF(C79="","",IF(S79="Отменён",W79,0))</x:f>
      </x:c>
      <x:c r="Z79" s="11" t="str">
        <x:f>IF(C79="","",IF(S79="Возврат",W79,0))</x:f>
      </x:c>
      <x:c r="AA79" s="11" t="str">
        <x:f>IF(C79="","",IF(S79="Выкуплен",E79,0))</x:f>
      </x:c>
    </x:row>
    <x:row r="80" ht="23" customHeight="1">
      <x:c r="A80" s="54"/>
      <x:c r="B80" s="51"/>
      <x:c r="C80" s="51"/>
      <x:c r="D80" s="11" t="str">
        <x:f>IF(C80="","",_xlfn.IFNA(INDEX(Products[Товар],MATCH(C80,Products[SKU],0)),"Нет SKU"))</x:f>
      </x:c>
      <x:c r="E80" s="51"/>
      <x:c r="F80" s="55"/>
      <x:c r="G80" s="55"/>
      <x:c r="H80" s="16" t="str">
        <x:f>IF(C80="","",IF(S80="Выкуплен",E80*(F80-G80),0))</x:f>
      </x:c>
      <x:c r="I80" s="55"/>
      <x:c r="J80" s="16" t="str">
        <x:f>IF(C80="","",IF(S80="Выкуплен",E80*I80,IF(S80="Возврат",MAX(0,E80-U80)*I80,0)))</x:f>
      </x:c>
      <x:c r="K80" s="55"/>
      <x:c r="L80" s="55"/>
      <x:c r="M80" s="55"/>
      <x:c r="N80" s="55"/>
      <x:c r="O80" s="55"/>
      <x:c r="P80" s="16" t="str">
        <x:f>IF(C80="","",H80-J80-SUM(K80:O80))</x:f>
      </x:c>
      <x:c r="Q80" s="17" t="str">
        <x:f>IF(C80="","",IF(H80=0,"",P80/H80))</x:f>
      </x:c>
      <x:c r="R80" s="17" t="str">
        <x:f>IF(C80="","",IF(J80=0,"",(H80-J80)/J80))</x:f>
      </x:c>
      <x:c r="S80" s="51"/>
      <x:c r="T80" s="51"/>
      <x:c r="U80" s="51"/>
      <x:c r="V80" s="11" t="str">
        <x:f>IF(C80="","",IF(OR(S80="Выкуплен",S80="Возврат"),E80,0))</x:f>
      </x:c>
      <x:c r="W80" s="11" t="str">
        <x:f>IF(C80="","",IF(B80="",0,IF(COUNTIFS($B$5:B80,B80)=1,1,0)))</x:f>
      </x:c>
      <x:c r="X80" s="11" t="str">
        <x:f>IF(C80="","",IF(S80="Выкуплен",W80,0))</x:f>
      </x:c>
      <x:c r="Y80" s="11" t="str">
        <x:f>IF(C80="","",IF(S80="Отменён",W80,0))</x:f>
      </x:c>
      <x:c r="Z80" s="11" t="str">
        <x:f>IF(C80="","",IF(S80="Возврат",W80,0))</x:f>
      </x:c>
      <x:c r="AA80" s="11" t="str">
        <x:f>IF(C80="","",IF(S80="Выкуплен",E80,0))</x:f>
      </x:c>
    </x:row>
    <x:row r="81" ht="23" customHeight="1">
      <x:c r="A81" s="54"/>
      <x:c r="B81" s="51"/>
      <x:c r="C81" s="51"/>
      <x:c r="D81" s="11" t="str">
        <x:f>IF(C81="","",_xlfn.IFNA(INDEX(Products[Товар],MATCH(C81,Products[SKU],0)),"Нет SKU"))</x:f>
      </x:c>
      <x:c r="E81" s="51"/>
      <x:c r="F81" s="55"/>
      <x:c r="G81" s="55"/>
      <x:c r="H81" s="16" t="str">
        <x:f>IF(C81="","",IF(S81="Выкуплен",E81*(F81-G81),0))</x:f>
      </x:c>
      <x:c r="I81" s="55"/>
      <x:c r="J81" s="16" t="str">
        <x:f>IF(C81="","",IF(S81="Выкуплен",E81*I81,IF(S81="Возврат",MAX(0,E81-U81)*I81,0)))</x:f>
      </x:c>
      <x:c r="K81" s="55"/>
      <x:c r="L81" s="55"/>
      <x:c r="M81" s="55"/>
      <x:c r="N81" s="55"/>
      <x:c r="O81" s="55"/>
      <x:c r="P81" s="16" t="str">
        <x:f>IF(C81="","",H81-J81-SUM(K81:O81))</x:f>
      </x:c>
      <x:c r="Q81" s="17" t="str">
        <x:f>IF(C81="","",IF(H81=0,"",P81/H81))</x:f>
      </x:c>
      <x:c r="R81" s="17" t="str">
        <x:f>IF(C81="","",IF(J81=0,"",(H81-J81)/J81))</x:f>
      </x:c>
      <x:c r="S81" s="51"/>
      <x:c r="T81" s="51"/>
      <x:c r="U81" s="51"/>
      <x:c r="V81" s="11" t="str">
        <x:f>IF(C81="","",IF(OR(S81="Выкуплен",S81="Возврат"),E81,0))</x:f>
      </x:c>
      <x:c r="W81" s="11" t="str">
        <x:f>IF(C81="","",IF(B81="",0,IF(COUNTIFS($B$5:B81,B81)=1,1,0)))</x:f>
      </x:c>
      <x:c r="X81" s="11" t="str">
        <x:f>IF(C81="","",IF(S81="Выкуплен",W81,0))</x:f>
      </x:c>
      <x:c r="Y81" s="11" t="str">
        <x:f>IF(C81="","",IF(S81="Отменён",W81,0))</x:f>
      </x:c>
      <x:c r="Z81" s="11" t="str">
        <x:f>IF(C81="","",IF(S81="Возврат",W81,0))</x:f>
      </x:c>
      <x:c r="AA81" s="11" t="str">
        <x:f>IF(C81="","",IF(S81="Выкуплен",E81,0))</x:f>
      </x:c>
    </x:row>
    <x:row r="82" ht="23" customHeight="1">
      <x:c r="A82" s="54"/>
      <x:c r="B82" s="51"/>
      <x:c r="C82" s="51"/>
      <x:c r="D82" s="11" t="str">
        <x:f>IF(C82="","",_xlfn.IFNA(INDEX(Products[Товар],MATCH(C82,Products[SKU],0)),"Нет SKU"))</x:f>
      </x:c>
      <x:c r="E82" s="51"/>
      <x:c r="F82" s="55"/>
      <x:c r="G82" s="55"/>
      <x:c r="H82" s="16" t="str">
        <x:f>IF(C82="","",IF(S82="Выкуплен",E82*(F82-G82),0))</x:f>
      </x:c>
      <x:c r="I82" s="55"/>
      <x:c r="J82" s="16" t="str">
        <x:f>IF(C82="","",IF(S82="Выкуплен",E82*I82,IF(S82="Возврат",MAX(0,E82-U82)*I82,0)))</x:f>
      </x:c>
      <x:c r="K82" s="55"/>
      <x:c r="L82" s="55"/>
      <x:c r="M82" s="55"/>
      <x:c r="N82" s="55"/>
      <x:c r="O82" s="55"/>
      <x:c r="P82" s="16" t="str">
        <x:f>IF(C82="","",H82-J82-SUM(K82:O82))</x:f>
      </x:c>
      <x:c r="Q82" s="17" t="str">
        <x:f>IF(C82="","",IF(H82=0,"",P82/H82))</x:f>
      </x:c>
      <x:c r="R82" s="17" t="str">
        <x:f>IF(C82="","",IF(J82=0,"",(H82-J82)/J82))</x:f>
      </x:c>
      <x:c r="S82" s="51"/>
      <x:c r="T82" s="51"/>
      <x:c r="U82" s="51"/>
      <x:c r="V82" s="11" t="str">
        <x:f>IF(C82="","",IF(OR(S82="Выкуплен",S82="Возврат"),E82,0))</x:f>
      </x:c>
      <x:c r="W82" s="11" t="str">
        <x:f>IF(C82="","",IF(B82="",0,IF(COUNTIFS($B$5:B82,B82)=1,1,0)))</x:f>
      </x:c>
      <x:c r="X82" s="11" t="str">
        <x:f>IF(C82="","",IF(S82="Выкуплен",W82,0))</x:f>
      </x:c>
      <x:c r="Y82" s="11" t="str">
        <x:f>IF(C82="","",IF(S82="Отменён",W82,0))</x:f>
      </x:c>
      <x:c r="Z82" s="11" t="str">
        <x:f>IF(C82="","",IF(S82="Возврат",W82,0))</x:f>
      </x:c>
      <x:c r="AA82" s="11" t="str">
        <x:f>IF(C82="","",IF(S82="Выкуплен",E82,0))</x:f>
      </x:c>
    </x:row>
    <x:row r="83" ht="23" customHeight="1">
      <x:c r="A83" s="54"/>
      <x:c r="B83" s="51"/>
      <x:c r="C83" s="51"/>
      <x:c r="D83" s="11" t="str">
        <x:f>IF(C83="","",_xlfn.IFNA(INDEX(Products[Товар],MATCH(C83,Products[SKU],0)),"Нет SKU"))</x:f>
      </x:c>
      <x:c r="E83" s="51"/>
      <x:c r="F83" s="55"/>
      <x:c r="G83" s="55"/>
      <x:c r="H83" s="16" t="str">
        <x:f>IF(C83="","",IF(S83="Выкуплен",E83*(F83-G83),0))</x:f>
      </x:c>
      <x:c r="I83" s="55"/>
      <x:c r="J83" s="16" t="str">
        <x:f>IF(C83="","",IF(S83="Выкуплен",E83*I83,IF(S83="Возврат",MAX(0,E83-U83)*I83,0)))</x:f>
      </x:c>
      <x:c r="K83" s="55"/>
      <x:c r="L83" s="55"/>
      <x:c r="M83" s="55"/>
      <x:c r="N83" s="55"/>
      <x:c r="O83" s="55"/>
      <x:c r="P83" s="16" t="str">
        <x:f>IF(C83="","",H83-J83-SUM(K83:O83))</x:f>
      </x:c>
      <x:c r="Q83" s="17" t="str">
        <x:f>IF(C83="","",IF(H83=0,"",P83/H83))</x:f>
      </x:c>
      <x:c r="R83" s="17" t="str">
        <x:f>IF(C83="","",IF(J83=0,"",(H83-J83)/J83))</x:f>
      </x:c>
      <x:c r="S83" s="51"/>
      <x:c r="T83" s="51"/>
      <x:c r="U83" s="51"/>
      <x:c r="V83" s="11" t="str">
        <x:f>IF(C83="","",IF(OR(S83="Выкуплен",S83="Возврат"),E83,0))</x:f>
      </x:c>
      <x:c r="W83" s="11" t="str">
        <x:f>IF(C83="","",IF(B83="",0,IF(COUNTIFS($B$5:B83,B83)=1,1,0)))</x:f>
      </x:c>
      <x:c r="X83" s="11" t="str">
        <x:f>IF(C83="","",IF(S83="Выкуплен",W83,0))</x:f>
      </x:c>
      <x:c r="Y83" s="11" t="str">
        <x:f>IF(C83="","",IF(S83="Отменён",W83,0))</x:f>
      </x:c>
      <x:c r="Z83" s="11" t="str">
        <x:f>IF(C83="","",IF(S83="Возврат",W83,0))</x:f>
      </x:c>
      <x:c r="AA83" s="11" t="str">
        <x:f>IF(C83="","",IF(S83="Выкуплен",E83,0))</x:f>
      </x:c>
    </x:row>
    <x:row r="84" ht="23" customHeight="1">
      <x:c r="A84" s="54"/>
      <x:c r="B84" s="51"/>
      <x:c r="C84" s="51"/>
      <x:c r="D84" s="11" t="str">
        <x:f>IF(C84="","",_xlfn.IFNA(INDEX(Products[Товар],MATCH(C84,Products[SKU],0)),"Нет SKU"))</x:f>
      </x:c>
      <x:c r="E84" s="51"/>
      <x:c r="F84" s="55"/>
      <x:c r="G84" s="55"/>
      <x:c r="H84" s="16" t="str">
        <x:f>IF(C84="","",IF(S84="Выкуплен",E84*(F84-G84),0))</x:f>
      </x:c>
      <x:c r="I84" s="55"/>
      <x:c r="J84" s="16" t="str">
        <x:f>IF(C84="","",IF(S84="Выкуплен",E84*I84,IF(S84="Возврат",MAX(0,E84-U84)*I84,0)))</x:f>
      </x:c>
      <x:c r="K84" s="55"/>
      <x:c r="L84" s="55"/>
      <x:c r="M84" s="55"/>
      <x:c r="N84" s="55"/>
      <x:c r="O84" s="55"/>
      <x:c r="P84" s="16" t="str">
        <x:f>IF(C84="","",H84-J84-SUM(K84:O84))</x:f>
      </x:c>
      <x:c r="Q84" s="17" t="str">
        <x:f>IF(C84="","",IF(H84=0,"",P84/H84))</x:f>
      </x:c>
      <x:c r="R84" s="17" t="str">
        <x:f>IF(C84="","",IF(J84=0,"",(H84-J84)/J84))</x:f>
      </x:c>
      <x:c r="S84" s="51"/>
      <x:c r="T84" s="51"/>
      <x:c r="U84" s="51"/>
      <x:c r="V84" s="11" t="str">
        <x:f>IF(C84="","",IF(OR(S84="Выкуплен",S84="Возврат"),E84,0))</x:f>
      </x:c>
      <x:c r="W84" s="11" t="str">
        <x:f>IF(C84="","",IF(B84="",0,IF(COUNTIFS($B$5:B84,B84)=1,1,0)))</x:f>
      </x:c>
      <x:c r="X84" s="11" t="str">
        <x:f>IF(C84="","",IF(S84="Выкуплен",W84,0))</x:f>
      </x:c>
      <x:c r="Y84" s="11" t="str">
        <x:f>IF(C84="","",IF(S84="Отменён",W84,0))</x:f>
      </x:c>
      <x:c r="Z84" s="11" t="str">
        <x:f>IF(C84="","",IF(S84="Возврат",W84,0))</x:f>
      </x:c>
      <x:c r="AA84" s="11" t="str">
        <x:f>IF(C84="","",IF(S84="Выкуплен",E84,0))</x:f>
      </x:c>
    </x:row>
    <x:row r="85" ht="23" customHeight="1">
      <x:c r="A85" s="54"/>
      <x:c r="B85" s="51"/>
      <x:c r="C85" s="51"/>
      <x:c r="D85" s="11" t="str">
        <x:f>IF(C85="","",_xlfn.IFNA(INDEX(Products[Товар],MATCH(C85,Products[SKU],0)),"Нет SKU"))</x:f>
      </x:c>
      <x:c r="E85" s="51"/>
      <x:c r="F85" s="55"/>
      <x:c r="G85" s="55"/>
      <x:c r="H85" s="16" t="str">
        <x:f>IF(C85="","",IF(S85="Выкуплен",E85*(F85-G85),0))</x:f>
      </x:c>
      <x:c r="I85" s="55"/>
      <x:c r="J85" s="16" t="str">
        <x:f>IF(C85="","",IF(S85="Выкуплен",E85*I85,IF(S85="Возврат",MAX(0,E85-U85)*I85,0)))</x:f>
      </x:c>
      <x:c r="K85" s="55"/>
      <x:c r="L85" s="55"/>
      <x:c r="M85" s="55"/>
      <x:c r="N85" s="55"/>
      <x:c r="O85" s="55"/>
      <x:c r="P85" s="16" t="str">
        <x:f>IF(C85="","",H85-J85-SUM(K85:O85))</x:f>
      </x:c>
      <x:c r="Q85" s="17" t="str">
        <x:f>IF(C85="","",IF(H85=0,"",P85/H85))</x:f>
      </x:c>
      <x:c r="R85" s="17" t="str">
        <x:f>IF(C85="","",IF(J85=0,"",(H85-J85)/J85))</x:f>
      </x:c>
      <x:c r="S85" s="51"/>
      <x:c r="T85" s="51"/>
      <x:c r="U85" s="51"/>
      <x:c r="V85" s="11" t="str">
        <x:f>IF(C85="","",IF(OR(S85="Выкуплен",S85="Возврат"),E85,0))</x:f>
      </x:c>
      <x:c r="W85" s="11" t="str">
        <x:f>IF(C85="","",IF(B85="",0,IF(COUNTIFS($B$5:B85,B85)=1,1,0)))</x:f>
      </x:c>
      <x:c r="X85" s="11" t="str">
        <x:f>IF(C85="","",IF(S85="Выкуплен",W85,0))</x:f>
      </x:c>
      <x:c r="Y85" s="11" t="str">
        <x:f>IF(C85="","",IF(S85="Отменён",W85,0))</x:f>
      </x:c>
      <x:c r="Z85" s="11" t="str">
        <x:f>IF(C85="","",IF(S85="Возврат",W85,0))</x:f>
      </x:c>
      <x:c r="AA85" s="11" t="str">
        <x:f>IF(C85="","",IF(S85="Выкуплен",E85,0))</x:f>
      </x:c>
    </x:row>
    <x:row r="86" ht="23" customHeight="1">
      <x:c r="A86" s="54"/>
      <x:c r="B86" s="51"/>
      <x:c r="C86" s="51"/>
      <x:c r="D86" s="11" t="str">
        <x:f>IF(C86="","",_xlfn.IFNA(INDEX(Products[Товар],MATCH(C86,Products[SKU],0)),"Нет SKU"))</x:f>
      </x:c>
      <x:c r="E86" s="51"/>
      <x:c r="F86" s="55"/>
      <x:c r="G86" s="55"/>
      <x:c r="H86" s="16" t="str">
        <x:f>IF(C86="","",IF(S86="Выкуплен",E86*(F86-G86),0))</x:f>
      </x:c>
      <x:c r="I86" s="55"/>
      <x:c r="J86" s="16" t="str">
        <x:f>IF(C86="","",IF(S86="Выкуплен",E86*I86,IF(S86="Возврат",MAX(0,E86-U86)*I86,0)))</x:f>
      </x:c>
      <x:c r="K86" s="55"/>
      <x:c r="L86" s="55"/>
      <x:c r="M86" s="55"/>
      <x:c r="N86" s="55"/>
      <x:c r="O86" s="55"/>
      <x:c r="P86" s="16" t="str">
        <x:f>IF(C86="","",H86-J86-SUM(K86:O86))</x:f>
      </x:c>
      <x:c r="Q86" s="17" t="str">
        <x:f>IF(C86="","",IF(H86=0,"",P86/H86))</x:f>
      </x:c>
      <x:c r="R86" s="17" t="str">
        <x:f>IF(C86="","",IF(J86=0,"",(H86-J86)/J86))</x:f>
      </x:c>
      <x:c r="S86" s="51"/>
      <x:c r="T86" s="51"/>
      <x:c r="U86" s="51"/>
      <x:c r="V86" s="11" t="str">
        <x:f>IF(C86="","",IF(OR(S86="Выкуплен",S86="Возврат"),E86,0))</x:f>
      </x:c>
      <x:c r="W86" s="11" t="str">
        <x:f>IF(C86="","",IF(B86="",0,IF(COUNTIFS($B$5:B86,B86)=1,1,0)))</x:f>
      </x:c>
      <x:c r="X86" s="11" t="str">
        <x:f>IF(C86="","",IF(S86="Выкуплен",W86,0))</x:f>
      </x:c>
      <x:c r="Y86" s="11" t="str">
        <x:f>IF(C86="","",IF(S86="Отменён",W86,0))</x:f>
      </x:c>
      <x:c r="Z86" s="11" t="str">
        <x:f>IF(C86="","",IF(S86="Возврат",W86,0))</x:f>
      </x:c>
      <x:c r="AA86" s="11" t="str">
        <x:f>IF(C86="","",IF(S86="Выкуплен",E86,0))</x:f>
      </x:c>
    </x:row>
    <x:row r="87" ht="23" customHeight="1">
      <x:c r="A87" s="54"/>
      <x:c r="B87" s="51"/>
      <x:c r="C87" s="51"/>
      <x:c r="D87" s="11" t="str">
        <x:f>IF(C87="","",_xlfn.IFNA(INDEX(Products[Товар],MATCH(C87,Products[SKU],0)),"Нет SKU"))</x:f>
      </x:c>
      <x:c r="E87" s="51"/>
      <x:c r="F87" s="55"/>
      <x:c r="G87" s="55"/>
      <x:c r="H87" s="16" t="str">
        <x:f>IF(C87="","",IF(S87="Выкуплен",E87*(F87-G87),0))</x:f>
      </x:c>
      <x:c r="I87" s="55"/>
      <x:c r="J87" s="16" t="str">
        <x:f>IF(C87="","",IF(S87="Выкуплен",E87*I87,IF(S87="Возврат",MAX(0,E87-U87)*I87,0)))</x:f>
      </x:c>
      <x:c r="K87" s="55"/>
      <x:c r="L87" s="55"/>
      <x:c r="M87" s="55"/>
      <x:c r="N87" s="55"/>
      <x:c r="O87" s="55"/>
      <x:c r="P87" s="16" t="str">
        <x:f>IF(C87="","",H87-J87-SUM(K87:O87))</x:f>
      </x:c>
      <x:c r="Q87" s="17" t="str">
        <x:f>IF(C87="","",IF(H87=0,"",P87/H87))</x:f>
      </x:c>
      <x:c r="R87" s="17" t="str">
        <x:f>IF(C87="","",IF(J87=0,"",(H87-J87)/J87))</x:f>
      </x:c>
      <x:c r="S87" s="51"/>
      <x:c r="T87" s="51"/>
      <x:c r="U87" s="51"/>
      <x:c r="V87" s="11" t="str">
        <x:f>IF(C87="","",IF(OR(S87="Выкуплен",S87="Возврат"),E87,0))</x:f>
      </x:c>
      <x:c r="W87" s="11" t="str">
        <x:f>IF(C87="","",IF(B87="",0,IF(COUNTIFS($B$5:B87,B87)=1,1,0)))</x:f>
      </x:c>
      <x:c r="X87" s="11" t="str">
        <x:f>IF(C87="","",IF(S87="Выкуплен",W87,0))</x:f>
      </x:c>
      <x:c r="Y87" s="11" t="str">
        <x:f>IF(C87="","",IF(S87="Отменён",W87,0))</x:f>
      </x:c>
      <x:c r="Z87" s="11" t="str">
        <x:f>IF(C87="","",IF(S87="Возврат",W87,0))</x:f>
      </x:c>
      <x:c r="AA87" s="11" t="str">
        <x:f>IF(C87="","",IF(S87="Выкуплен",E87,0))</x:f>
      </x:c>
    </x:row>
    <x:row r="88" ht="23" customHeight="1">
      <x:c r="A88" s="54"/>
      <x:c r="B88" s="51"/>
      <x:c r="C88" s="51"/>
      <x:c r="D88" s="11" t="str">
        <x:f>IF(C88="","",_xlfn.IFNA(INDEX(Products[Товар],MATCH(C88,Products[SKU],0)),"Нет SKU"))</x:f>
      </x:c>
      <x:c r="E88" s="51"/>
      <x:c r="F88" s="55"/>
      <x:c r="G88" s="55"/>
      <x:c r="H88" s="16" t="str">
        <x:f>IF(C88="","",IF(S88="Выкуплен",E88*(F88-G88),0))</x:f>
      </x:c>
      <x:c r="I88" s="55"/>
      <x:c r="J88" s="16" t="str">
        <x:f>IF(C88="","",IF(S88="Выкуплен",E88*I88,IF(S88="Возврат",MAX(0,E88-U88)*I88,0)))</x:f>
      </x:c>
      <x:c r="K88" s="55"/>
      <x:c r="L88" s="55"/>
      <x:c r="M88" s="55"/>
      <x:c r="N88" s="55"/>
      <x:c r="O88" s="55"/>
      <x:c r="P88" s="16" t="str">
        <x:f>IF(C88="","",H88-J88-SUM(K88:O88))</x:f>
      </x:c>
      <x:c r="Q88" s="17" t="str">
        <x:f>IF(C88="","",IF(H88=0,"",P88/H88))</x:f>
      </x:c>
      <x:c r="R88" s="17" t="str">
        <x:f>IF(C88="","",IF(J88=0,"",(H88-J88)/J88))</x:f>
      </x:c>
      <x:c r="S88" s="51"/>
      <x:c r="T88" s="51"/>
      <x:c r="U88" s="51"/>
      <x:c r="V88" s="11" t="str">
        <x:f>IF(C88="","",IF(OR(S88="Выкуплен",S88="Возврат"),E88,0))</x:f>
      </x:c>
      <x:c r="W88" s="11" t="str">
        <x:f>IF(C88="","",IF(B88="",0,IF(COUNTIFS($B$5:B88,B88)=1,1,0)))</x:f>
      </x:c>
      <x:c r="X88" s="11" t="str">
        <x:f>IF(C88="","",IF(S88="Выкуплен",W88,0))</x:f>
      </x:c>
      <x:c r="Y88" s="11" t="str">
        <x:f>IF(C88="","",IF(S88="Отменён",W88,0))</x:f>
      </x:c>
      <x:c r="Z88" s="11" t="str">
        <x:f>IF(C88="","",IF(S88="Возврат",W88,0))</x:f>
      </x:c>
      <x:c r="AA88" s="11" t="str">
        <x:f>IF(C88="","",IF(S88="Выкуплен",E88,0))</x:f>
      </x:c>
    </x:row>
    <x:row r="89" ht="23" customHeight="1">
      <x:c r="A89" s="54"/>
      <x:c r="B89" s="51"/>
      <x:c r="C89" s="51"/>
      <x:c r="D89" s="11" t="str">
        <x:f>IF(C89="","",_xlfn.IFNA(INDEX(Products[Товар],MATCH(C89,Products[SKU],0)),"Нет SKU"))</x:f>
      </x:c>
      <x:c r="E89" s="51"/>
      <x:c r="F89" s="55"/>
      <x:c r="G89" s="55"/>
      <x:c r="H89" s="16" t="str">
        <x:f>IF(C89="","",IF(S89="Выкуплен",E89*(F89-G89),0))</x:f>
      </x:c>
      <x:c r="I89" s="55"/>
      <x:c r="J89" s="16" t="str">
        <x:f>IF(C89="","",IF(S89="Выкуплен",E89*I89,IF(S89="Возврат",MAX(0,E89-U89)*I89,0)))</x:f>
      </x:c>
      <x:c r="K89" s="55"/>
      <x:c r="L89" s="55"/>
      <x:c r="M89" s="55"/>
      <x:c r="N89" s="55"/>
      <x:c r="O89" s="55"/>
      <x:c r="P89" s="16" t="str">
        <x:f>IF(C89="","",H89-J89-SUM(K89:O89))</x:f>
      </x:c>
      <x:c r="Q89" s="17" t="str">
        <x:f>IF(C89="","",IF(H89=0,"",P89/H89))</x:f>
      </x:c>
      <x:c r="R89" s="17" t="str">
        <x:f>IF(C89="","",IF(J89=0,"",(H89-J89)/J89))</x:f>
      </x:c>
      <x:c r="S89" s="51"/>
      <x:c r="T89" s="51"/>
      <x:c r="U89" s="51"/>
      <x:c r="V89" s="11" t="str">
        <x:f>IF(C89="","",IF(OR(S89="Выкуплен",S89="Возврат"),E89,0))</x:f>
      </x:c>
      <x:c r="W89" s="11" t="str">
        <x:f>IF(C89="","",IF(B89="",0,IF(COUNTIFS($B$5:B89,B89)=1,1,0)))</x:f>
      </x:c>
      <x:c r="X89" s="11" t="str">
        <x:f>IF(C89="","",IF(S89="Выкуплен",W89,0))</x:f>
      </x:c>
      <x:c r="Y89" s="11" t="str">
        <x:f>IF(C89="","",IF(S89="Отменён",W89,0))</x:f>
      </x:c>
      <x:c r="Z89" s="11" t="str">
        <x:f>IF(C89="","",IF(S89="Возврат",W89,0))</x:f>
      </x:c>
      <x:c r="AA89" s="11" t="str">
        <x:f>IF(C89="","",IF(S89="Выкуплен",E89,0))</x:f>
      </x:c>
    </x:row>
    <x:row r="90" ht="23" customHeight="1">
      <x:c r="A90" s="54"/>
      <x:c r="B90" s="51"/>
      <x:c r="C90" s="51"/>
      <x:c r="D90" s="11" t="str">
        <x:f>IF(C90="","",_xlfn.IFNA(INDEX(Products[Товар],MATCH(C90,Products[SKU],0)),"Нет SKU"))</x:f>
      </x:c>
      <x:c r="E90" s="51"/>
      <x:c r="F90" s="55"/>
      <x:c r="G90" s="55"/>
      <x:c r="H90" s="16" t="str">
        <x:f>IF(C90="","",IF(S90="Выкуплен",E90*(F90-G90),0))</x:f>
      </x:c>
      <x:c r="I90" s="55"/>
      <x:c r="J90" s="16" t="str">
        <x:f>IF(C90="","",IF(S90="Выкуплен",E90*I90,IF(S90="Возврат",MAX(0,E90-U90)*I90,0)))</x:f>
      </x:c>
      <x:c r="K90" s="55"/>
      <x:c r="L90" s="55"/>
      <x:c r="M90" s="55"/>
      <x:c r="N90" s="55"/>
      <x:c r="O90" s="55"/>
      <x:c r="P90" s="16" t="str">
        <x:f>IF(C90="","",H90-J90-SUM(K90:O90))</x:f>
      </x:c>
      <x:c r="Q90" s="17" t="str">
        <x:f>IF(C90="","",IF(H90=0,"",P90/H90))</x:f>
      </x:c>
      <x:c r="R90" s="17" t="str">
        <x:f>IF(C90="","",IF(J90=0,"",(H90-J90)/J90))</x:f>
      </x:c>
      <x:c r="S90" s="51"/>
      <x:c r="T90" s="51"/>
      <x:c r="U90" s="51"/>
      <x:c r="V90" s="11" t="str">
        <x:f>IF(C90="","",IF(OR(S90="Выкуплен",S90="Возврат"),E90,0))</x:f>
      </x:c>
      <x:c r="W90" s="11" t="str">
        <x:f>IF(C90="","",IF(B90="",0,IF(COUNTIFS($B$5:B90,B90)=1,1,0)))</x:f>
      </x:c>
      <x:c r="X90" s="11" t="str">
        <x:f>IF(C90="","",IF(S90="Выкуплен",W90,0))</x:f>
      </x:c>
      <x:c r="Y90" s="11" t="str">
        <x:f>IF(C90="","",IF(S90="Отменён",W90,0))</x:f>
      </x:c>
      <x:c r="Z90" s="11" t="str">
        <x:f>IF(C90="","",IF(S90="Возврат",W90,0))</x:f>
      </x:c>
      <x:c r="AA90" s="11" t="str">
        <x:f>IF(C90="","",IF(S90="Выкуплен",E90,0))</x:f>
      </x:c>
    </x:row>
    <x:row r="91" ht="23" customHeight="1">
      <x:c r="A91" s="54"/>
      <x:c r="B91" s="51"/>
      <x:c r="C91" s="51"/>
      <x:c r="D91" s="11" t="str">
        <x:f>IF(C91="","",_xlfn.IFNA(INDEX(Products[Товар],MATCH(C91,Products[SKU],0)),"Нет SKU"))</x:f>
      </x:c>
      <x:c r="E91" s="51"/>
      <x:c r="F91" s="55"/>
      <x:c r="G91" s="55"/>
      <x:c r="H91" s="16" t="str">
        <x:f>IF(C91="","",IF(S91="Выкуплен",E91*(F91-G91),0))</x:f>
      </x:c>
      <x:c r="I91" s="55"/>
      <x:c r="J91" s="16" t="str">
        <x:f>IF(C91="","",IF(S91="Выкуплен",E91*I91,IF(S91="Возврат",MAX(0,E91-U91)*I91,0)))</x:f>
      </x:c>
      <x:c r="K91" s="55"/>
      <x:c r="L91" s="55"/>
      <x:c r="M91" s="55"/>
      <x:c r="N91" s="55"/>
      <x:c r="O91" s="55"/>
      <x:c r="P91" s="16" t="str">
        <x:f>IF(C91="","",H91-J91-SUM(K91:O91))</x:f>
      </x:c>
      <x:c r="Q91" s="17" t="str">
        <x:f>IF(C91="","",IF(H91=0,"",P91/H91))</x:f>
      </x:c>
      <x:c r="R91" s="17" t="str">
        <x:f>IF(C91="","",IF(J91=0,"",(H91-J91)/J91))</x:f>
      </x:c>
      <x:c r="S91" s="51"/>
      <x:c r="T91" s="51"/>
      <x:c r="U91" s="51"/>
      <x:c r="V91" s="11" t="str">
        <x:f>IF(C91="","",IF(OR(S91="Выкуплен",S91="Возврат"),E91,0))</x:f>
      </x:c>
      <x:c r="W91" s="11" t="str">
        <x:f>IF(C91="","",IF(B91="",0,IF(COUNTIFS($B$5:B91,B91)=1,1,0)))</x:f>
      </x:c>
      <x:c r="X91" s="11" t="str">
        <x:f>IF(C91="","",IF(S91="Выкуплен",W91,0))</x:f>
      </x:c>
      <x:c r="Y91" s="11" t="str">
        <x:f>IF(C91="","",IF(S91="Отменён",W91,0))</x:f>
      </x:c>
      <x:c r="Z91" s="11" t="str">
        <x:f>IF(C91="","",IF(S91="Возврат",W91,0))</x:f>
      </x:c>
      <x:c r="AA91" s="11" t="str">
        <x:f>IF(C91="","",IF(S91="Выкуплен",E91,0))</x:f>
      </x:c>
    </x:row>
    <x:row r="92" ht="23" customHeight="1">
      <x:c r="A92" s="54"/>
      <x:c r="B92" s="51"/>
      <x:c r="C92" s="51"/>
      <x:c r="D92" s="11" t="str">
        <x:f>IF(C92="","",_xlfn.IFNA(INDEX(Products[Товар],MATCH(C92,Products[SKU],0)),"Нет SKU"))</x:f>
      </x:c>
      <x:c r="E92" s="51"/>
      <x:c r="F92" s="55"/>
      <x:c r="G92" s="55"/>
      <x:c r="H92" s="16" t="str">
        <x:f>IF(C92="","",IF(S92="Выкуплен",E92*(F92-G92),0))</x:f>
      </x:c>
      <x:c r="I92" s="55"/>
      <x:c r="J92" s="16" t="str">
        <x:f>IF(C92="","",IF(S92="Выкуплен",E92*I92,IF(S92="Возврат",MAX(0,E92-U92)*I92,0)))</x:f>
      </x:c>
      <x:c r="K92" s="55"/>
      <x:c r="L92" s="55"/>
      <x:c r="M92" s="55"/>
      <x:c r="N92" s="55"/>
      <x:c r="O92" s="55"/>
      <x:c r="P92" s="16" t="str">
        <x:f>IF(C92="","",H92-J92-SUM(K92:O92))</x:f>
      </x:c>
      <x:c r="Q92" s="17" t="str">
        <x:f>IF(C92="","",IF(H92=0,"",P92/H92))</x:f>
      </x:c>
      <x:c r="R92" s="17" t="str">
        <x:f>IF(C92="","",IF(J92=0,"",(H92-J92)/J92))</x:f>
      </x:c>
      <x:c r="S92" s="51"/>
      <x:c r="T92" s="51"/>
      <x:c r="U92" s="51"/>
      <x:c r="V92" s="11" t="str">
        <x:f>IF(C92="","",IF(OR(S92="Выкуплен",S92="Возврат"),E92,0))</x:f>
      </x:c>
      <x:c r="W92" s="11" t="str">
        <x:f>IF(C92="","",IF(B92="",0,IF(COUNTIFS($B$5:B92,B92)=1,1,0)))</x:f>
      </x:c>
      <x:c r="X92" s="11" t="str">
        <x:f>IF(C92="","",IF(S92="Выкуплен",W92,0))</x:f>
      </x:c>
      <x:c r="Y92" s="11" t="str">
        <x:f>IF(C92="","",IF(S92="Отменён",W92,0))</x:f>
      </x:c>
      <x:c r="Z92" s="11" t="str">
        <x:f>IF(C92="","",IF(S92="Возврат",W92,0))</x:f>
      </x:c>
      <x:c r="AA92" s="11" t="str">
        <x:f>IF(C92="","",IF(S92="Выкуплен",E92,0))</x:f>
      </x:c>
    </x:row>
    <x:row r="93" ht="23" customHeight="1">
      <x:c r="A93" s="54"/>
      <x:c r="B93" s="51"/>
      <x:c r="C93" s="51"/>
      <x:c r="D93" s="11" t="str">
        <x:f>IF(C93="","",_xlfn.IFNA(INDEX(Products[Товар],MATCH(C93,Products[SKU],0)),"Нет SKU"))</x:f>
      </x:c>
      <x:c r="E93" s="51"/>
      <x:c r="F93" s="55"/>
      <x:c r="G93" s="55"/>
      <x:c r="H93" s="16" t="str">
        <x:f>IF(C93="","",IF(S93="Выкуплен",E93*(F93-G93),0))</x:f>
      </x:c>
      <x:c r="I93" s="55"/>
      <x:c r="J93" s="16" t="str">
        <x:f>IF(C93="","",IF(S93="Выкуплен",E93*I93,IF(S93="Возврат",MAX(0,E93-U93)*I93,0)))</x:f>
      </x:c>
      <x:c r="K93" s="55"/>
      <x:c r="L93" s="55"/>
      <x:c r="M93" s="55"/>
      <x:c r="N93" s="55"/>
      <x:c r="O93" s="55"/>
      <x:c r="P93" s="16" t="str">
        <x:f>IF(C93="","",H93-J93-SUM(K93:O93))</x:f>
      </x:c>
      <x:c r="Q93" s="17" t="str">
        <x:f>IF(C93="","",IF(H93=0,"",P93/H93))</x:f>
      </x:c>
      <x:c r="R93" s="17" t="str">
        <x:f>IF(C93="","",IF(J93=0,"",(H93-J93)/J93))</x:f>
      </x:c>
      <x:c r="S93" s="51"/>
      <x:c r="T93" s="51"/>
      <x:c r="U93" s="51"/>
      <x:c r="V93" s="11" t="str">
        <x:f>IF(C93="","",IF(OR(S93="Выкуплен",S93="Возврат"),E93,0))</x:f>
      </x:c>
      <x:c r="W93" s="11" t="str">
        <x:f>IF(C93="","",IF(B93="",0,IF(COUNTIFS($B$5:B93,B93)=1,1,0)))</x:f>
      </x:c>
      <x:c r="X93" s="11" t="str">
        <x:f>IF(C93="","",IF(S93="Выкуплен",W93,0))</x:f>
      </x:c>
      <x:c r="Y93" s="11" t="str">
        <x:f>IF(C93="","",IF(S93="Отменён",W93,0))</x:f>
      </x:c>
      <x:c r="Z93" s="11" t="str">
        <x:f>IF(C93="","",IF(S93="Возврат",W93,0))</x:f>
      </x:c>
      <x:c r="AA93" s="11" t="str">
        <x:f>IF(C93="","",IF(S93="Выкуплен",E93,0))</x:f>
      </x:c>
    </x:row>
    <x:row r="94" ht="23" customHeight="1">
      <x:c r="A94" s="54"/>
      <x:c r="B94" s="51"/>
      <x:c r="C94" s="51"/>
      <x:c r="D94" s="11" t="str">
        <x:f>IF(C94="","",_xlfn.IFNA(INDEX(Products[Товар],MATCH(C94,Products[SKU],0)),"Нет SKU"))</x:f>
      </x:c>
      <x:c r="E94" s="51"/>
      <x:c r="F94" s="55"/>
      <x:c r="G94" s="55"/>
      <x:c r="H94" s="16" t="str">
        <x:f>IF(C94="","",IF(S94="Выкуплен",E94*(F94-G94),0))</x:f>
      </x:c>
      <x:c r="I94" s="55"/>
      <x:c r="J94" s="16" t="str">
        <x:f>IF(C94="","",IF(S94="Выкуплен",E94*I94,IF(S94="Возврат",MAX(0,E94-U94)*I94,0)))</x:f>
      </x:c>
      <x:c r="K94" s="55"/>
      <x:c r="L94" s="55"/>
      <x:c r="M94" s="55"/>
      <x:c r="N94" s="55"/>
      <x:c r="O94" s="55"/>
      <x:c r="P94" s="16" t="str">
        <x:f>IF(C94="","",H94-J94-SUM(K94:O94))</x:f>
      </x:c>
      <x:c r="Q94" s="17" t="str">
        <x:f>IF(C94="","",IF(H94=0,"",P94/H94))</x:f>
      </x:c>
      <x:c r="R94" s="17" t="str">
        <x:f>IF(C94="","",IF(J94=0,"",(H94-J94)/J94))</x:f>
      </x:c>
      <x:c r="S94" s="51"/>
      <x:c r="T94" s="51"/>
      <x:c r="U94" s="51"/>
      <x:c r="V94" s="11" t="str">
        <x:f>IF(C94="","",IF(OR(S94="Выкуплен",S94="Возврат"),E94,0))</x:f>
      </x:c>
      <x:c r="W94" s="11" t="str">
        <x:f>IF(C94="","",IF(B94="",0,IF(COUNTIFS($B$5:B94,B94)=1,1,0)))</x:f>
      </x:c>
      <x:c r="X94" s="11" t="str">
        <x:f>IF(C94="","",IF(S94="Выкуплен",W94,0))</x:f>
      </x:c>
      <x:c r="Y94" s="11" t="str">
        <x:f>IF(C94="","",IF(S94="Отменён",W94,0))</x:f>
      </x:c>
      <x:c r="Z94" s="11" t="str">
        <x:f>IF(C94="","",IF(S94="Возврат",W94,0))</x:f>
      </x:c>
      <x:c r="AA94" s="11" t="str">
        <x:f>IF(C94="","",IF(S94="Выкуплен",E94,0))</x:f>
      </x:c>
    </x:row>
    <x:row r="95" ht="23" customHeight="1">
      <x:c r="A95" s="54"/>
      <x:c r="B95" s="51"/>
      <x:c r="C95" s="51"/>
      <x:c r="D95" s="11" t="str">
        <x:f>IF(C95="","",_xlfn.IFNA(INDEX(Products[Товар],MATCH(C95,Products[SKU],0)),"Нет SKU"))</x:f>
      </x:c>
      <x:c r="E95" s="51"/>
      <x:c r="F95" s="55"/>
      <x:c r="G95" s="55"/>
      <x:c r="H95" s="16" t="str">
        <x:f>IF(C95="","",IF(S95="Выкуплен",E95*(F95-G95),0))</x:f>
      </x:c>
      <x:c r="I95" s="55"/>
      <x:c r="J95" s="16" t="str">
        <x:f>IF(C95="","",IF(S95="Выкуплен",E95*I95,IF(S95="Возврат",MAX(0,E95-U95)*I95,0)))</x:f>
      </x:c>
      <x:c r="K95" s="55"/>
      <x:c r="L95" s="55"/>
      <x:c r="M95" s="55"/>
      <x:c r="N95" s="55"/>
      <x:c r="O95" s="55"/>
      <x:c r="P95" s="16" t="str">
        <x:f>IF(C95="","",H95-J95-SUM(K95:O95))</x:f>
      </x:c>
      <x:c r="Q95" s="17" t="str">
        <x:f>IF(C95="","",IF(H95=0,"",P95/H95))</x:f>
      </x:c>
      <x:c r="R95" s="17" t="str">
        <x:f>IF(C95="","",IF(J95=0,"",(H95-J95)/J95))</x:f>
      </x:c>
      <x:c r="S95" s="51"/>
      <x:c r="T95" s="51"/>
      <x:c r="U95" s="51"/>
      <x:c r="V95" s="11" t="str">
        <x:f>IF(C95="","",IF(OR(S95="Выкуплен",S95="Возврат"),E95,0))</x:f>
      </x:c>
      <x:c r="W95" s="11" t="str">
        <x:f>IF(C95="","",IF(B95="",0,IF(COUNTIFS($B$5:B95,B95)=1,1,0)))</x:f>
      </x:c>
      <x:c r="X95" s="11" t="str">
        <x:f>IF(C95="","",IF(S95="Выкуплен",W95,0))</x:f>
      </x:c>
      <x:c r="Y95" s="11" t="str">
        <x:f>IF(C95="","",IF(S95="Отменён",W95,0))</x:f>
      </x:c>
      <x:c r="Z95" s="11" t="str">
        <x:f>IF(C95="","",IF(S95="Возврат",W95,0))</x:f>
      </x:c>
      <x:c r="AA95" s="11" t="str">
        <x:f>IF(C95="","",IF(S95="Выкуплен",E95,0))</x:f>
      </x:c>
    </x:row>
    <x:row r="96" ht="23" customHeight="1">
      <x:c r="A96" s="54"/>
      <x:c r="B96" s="51"/>
      <x:c r="C96" s="51"/>
      <x:c r="D96" s="11" t="str">
        <x:f>IF(C96="","",_xlfn.IFNA(INDEX(Products[Товар],MATCH(C96,Products[SKU],0)),"Нет SKU"))</x:f>
      </x:c>
      <x:c r="E96" s="51"/>
      <x:c r="F96" s="55"/>
      <x:c r="G96" s="55"/>
      <x:c r="H96" s="16" t="str">
        <x:f>IF(C96="","",IF(S96="Выкуплен",E96*(F96-G96),0))</x:f>
      </x:c>
      <x:c r="I96" s="55"/>
      <x:c r="J96" s="16" t="str">
        <x:f>IF(C96="","",IF(S96="Выкуплен",E96*I96,IF(S96="Возврат",MAX(0,E96-U96)*I96,0)))</x:f>
      </x:c>
      <x:c r="K96" s="55"/>
      <x:c r="L96" s="55"/>
      <x:c r="M96" s="55"/>
      <x:c r="N96" s="55"/>
      <x:c r="O96" s="55"/>
      <x:c r="P96" s="16" t="str">
        <x:f>IF(C96="","",H96-J96-SUM(K96:O96))</x:f>
      </x:c>
      <x:c r="Q96" s="17" t="str">
        <x:f>IF(C96="","",IF(H96=0,"",P96/H96))</x:f>
      </x:c>
      <x:c r="R96" s="17" t="str">
        <x:f>IF(C96="","",IF(J96=0,"",(H96-J96)/J96))</x:f>
      </x:c>
      <x:c r="S96" s="51"/>
      <x:c r="T96" s="51"/>
      <x:c r="U96" s="51"/>
      <x:c r="V96" s="11" t="str">
        <x:f>IF(C96="","",IF(OR(S96="Выкуплен",S96="Возврат"),E96,0))</x:f>
      </x:c>
      <x:c r="W96" s="11" t="str">
        <x:f>IF(C96="","",IF(B96="",0,IF(COUNTIFS($B$5:B96,B96)=1,1,0)))</x:f>
      </x:c>
      <x:c r="X96" s="11" t="str">
        <x:f>IF(C96="","",IF(S96="Выкуплен",W96,0))</x:f>
      </x:c>
      <x:c r="Y96" s="11" t="str">
        <x:f>IF(C96="","",IF(S96="Отменён",W96,0))</x:f>
      </x:c>
      <x:c r="Z96" s="11" t="str">
        <x:f>IF(C96="","",IF(S96="Возврат",W96,0))</x:f>
      </x:c>
      <x:c r="AA96" s="11" t="str">
        <x:f>IF(C96="","",IF(S96="Выкуплен",E96,0))</x:f>
      </x:c>
    </x:row>
    <x:row r="97" ht="23" customHeight="1">
      <x:c r="A97" s="54"/>
      <x:c r="B97" s="51"/>
      <x:c r="C97" s="51"/>
      <x:c r="D97" s="11" t="str">
        <x:f>IF(C97="","",_xlfn.IFNA(INDEX(Products[Товар],MATCH(C97,Products[SKU],0)),"Нет SKU"))</x:f>
      </x:c>
      <x:c r="E97" s="51"/>
      <x:c r="F97" s="55"/>
      <x:c r="G97" s="55"/>
      <x:c r="H97" s="16" t="str">
        <x:f>IF(C97="","",IF(S97="Выкуплен",E97*(F97-G97),0))</x:f>
      </x:c>
      <x:c r="I97" s="55"/>
      <x:c r="J97" s="16" t="str">
        <x:f>IF(C97="","",IF(S97="Выкуплен",E97*I97,IF(S97="Возврат",MAX(0,E97-U97)*I97,0)))</x:f>
      </x:c>
      <x:c r="K97" s="55"/>
      <x:c r="L97" s="55"/>
      <x:c r="M97" s="55"/>
      <x:c r="N97" s="55"/>
      <x:c r="O97" s="55"/>
      <x:c r="P97" s="16" t="str">
        <x:f>IF(C97="","",H97-J97-SUM(K97:O97))</x:f>
      </x:c>
      <x:c r="Q97" s="17" t="str">
        <x:f>IF(C97="","",IF(H97=0,"",P97/H97))</x:f>
      </x:c>
      <x:c r="R97" s="17" t="str">
        <x:f>IF(C97="","",IF(J97=0,"",(H97-J97)/J97))</x:f>
      </x:c>
      <x:c r="S97" s="51"/>
      <x:c r="T97" s="51"/>
      <x:c r="U97" s="51"/>
      <x:c r="V97" s="11" t="str">
        <x:f>IF(C97="","",IF(OR(S97="Выкуплен",S97="Возврат"),E97,0))</x:f>
      </x:c>
      <x:c r="W97" s="11" t="str">
        <x:f>IF(C97="","",IF(B97="",0,IF(COUNTIFS($B$5:B97,B97)=1,1,0)))</x:f>
      </x:c>
      <x:c r="X97" s="11" t="str">
        <x:f>IF(C97="","",IF(S97="Выкуплен",W97,0))</x:f>
      </x:c>
      <x:c r="Y97" s="11" t="str">
        <x:f>IF(C97="","",IF(S97="Отменён",W97,0))</x:f>
      </x:c>
      <x:c r="Z97" s="11" t="str">
        <x:f>IF(C97="","",IF(S97="Возврат",W97,0))</x:f>
      </x:c>
      <x:c r="AA97" s="11" t="str">
        <x:f>IF(C97="","",IF(S97="Выкуплен",E97,0))</x:f>
      </x:c>
    </x:row>
    <x:row r="98" ht="23" customHeight="1">
      <x:c r="A98" s="54"/>
      <x:c r="B98" s="51"/>
      <x:c r="C98" s="51"/>
      <x:c r="D98" s="11" t="str">
        <x:f>IF(C98="","",_xlfn.IFNA(INDEX(Products[Товар],MATCH(C98,Products[SKU],0)),"Нет SKU"))</x:f>
      </x:c>
      <x:c r="E98" s="51"/>
      <x:c r="F98" s="55"/>
      <x:c r="G98" s="55"/>
      <x:c r="H98" s="16" t="str">
        <x:f>IF(C98="","",IF(S98="Выкуплен",E98*(F98-G98),0))</x:f>
      </x:c>
      <x:c r="I98" s="55"/>
      <x:c r="J98" s="16" t="str">
        <x:f>IF(C98="","",IF(S98="Выкуплен",E98*I98,IF(S98="Возврат",MAX(0,E98-U98)*I98,0)))</x:f>
      </x:c>
      <x:c r="K98" s="55"/>
      <x:c r="L98" s="55"/>
      <x:c r="M98" s="55"/>
      <x:c r="N98" s="55"/>
      <x:c r="O98" s="55"/>
      <x:c r="P98" s="16" t="str">
        <x:f>IF(C98="","",H98-J98-SUM(K98:O98))</x:f>
      </x:c>
      <x:c r="Q98" s="17" t="str">
        <x:f>IF(C98="","",IF(H98=0,"",P98/H98))</x:f>
      </x:c>
      <x:c r="R98" s="17" t="str">
        <x:f>IF(C98="","",IF(J98=0,"",(H98-J98)/J98))</x:f>
      </x:c>
      <x:c r="S98" s="51"/>
      <x:c r="T98" s="51"/>
      <x:c r="U98" s="51"/>
      <x:c r="V98" s="11" t="str">
        <x:f>IF(C98="","",IF(OR(S98="Выкуплен",S98="Возврат"),E98,0))</x:f>
      </x:c>
      <x:c r="W98" s="11" t="str">
        <x:f>IF(C98="","",IF(B98="",0,IF(COUNTIFS($B$5:B98,B98)=1,1,0)))</x:f>
      </x:c>
      <x:c r="X98" s="11" t="str">
        <x:f>IF(C98="","",IF(S98="Выкуплен",W98,0))</x:f>
      </x:c>
      <x:c r="Y98" s="11" t="str">
        <x:f>IF(C98="","",IF(S98="Отменён",W98,0))</x:f>
      </x:c>
      <x:c r="Z98" s="11" t="str">
        <x:f>IF(C98="","",IF(S98="Возврат",W98,0))</x:f>
      </x:c>
      <x:c r="AA98" s="11" t="str">
        <x:f>IF(C98="","",IF(S98="Выкуплен",E98,0))</x:f>
      </x:c>
    </x:row>
    <x:row r="99" ht="23" customHeight="1">
      <x:c r="A99" s="54"/>
      <x:c r="B99" s="51"/>
      <x:c r="C99" s="51"/>
      <x:c r="D99" s="11" t="str">
        <x:f>IF(C99="","",_xlfn.IFNA(INDEX(Products[Товар],MATCH(C99,Products[SKU],0)),"Нет SKU"))</x:f>
      </x:c>
      <x:c r="E99" s="51"/>
      <x:c r="F99" s="55"/>
      <x:c r="G99" s="55"/>
      <x:c r="H99" s="16" t="str">
        <x:f>IF(C99="","",IF(S99="Выкуплен",E99*(F99-G99),0))</x:f>
      </x:c>
      <x:c r="I99" s="55"/>
      <x:c r="J99" s="16" t="str">
        <x:f>IF(C99="","",IF(S99="Выкуплен",E99*I99,IF(S99="Возврат",MAX(0,E99-U99)*I99,0)))</x:f>
      </x:c>
      <x:c r="K99" s="55"/>
      <x:c r="L99" s="55"/>
      <x:c r="M99" s="55"/>
      <x:c r="N99" s="55"/>
      <x:c r="O99" s="55"/>
      <x:c r="P99" s="16" t="str">
        <x:f>IF(C99="","",H99-J99-SUM(K99:O99))</x:f>
      </x:c>
      <x:c r="Q99" s="17" t="str">
        <x:f>IF(C99="","",IF(H99=0,"",P99/H99))</x:f>
      </x:c>
      <x:c r="R99" s="17" t="str">
        <x:f>IF(C99="","",IF(J99=0,"",(H99-J99)/J99))</x:f>
      </x:c>
      <x:c r="S99" s="51"/>
      <x:c r="T99" s="51"/>
      <x:c r="U99" s="51"/>
      <x:c r="V99" s="11" t="str">
        <x:f>IF(C99="","",IF(OR(S99="Выкуплен",S99="Возврат"),E99,0))</x:f>
      </x:c>
      <x:c r="W99" s="11" t="str">
        <x:f>IF(C99="","",IF(B99="",0,IF(COUNTIFS($B$5:B99,B99)=1,1,0)))</x:f>
      </x:c>
      <x:c r="X99" s="11" t="str">
        <x:f>IF(C99="","",IF(S99="Выкуплен",W99,0))</x:f>
      </x:c>
      <x:c r="Y99" s="11" t="str">
        <x:f>IF(C99="","",IF(S99="Отменён",W99,0))</x:f>
      </x:c>
      <x:c r="Z99" s="11" t="str">
        <x:f>IF(C99="","",IF(S99="Возврат",W99,0))</x:f>
      </x:c>
      <x:c r="AA99" s="11" t="str">
        <x:f>IF(C99="","",IF(S99="Выкуплен",E99,0))</x:f>
      </x:c>
    </x:row>
    <x:row r="100" ht="23" customHeight="1">
      <x:c r="A100" s="54"/>
      <x:c r="B100" s="51"/>
      <x:c r="C100" s="51"/>
      <x:c r="D100" s="11" t="str">
        <x:f>IF(C100="","",_xlfn.IFNA(INDEX(Products[Товар],MATCH(C100,Products[SKU],0)),"Нет SKU"))</x:f>
      </x:c>
      <x:c r="E100" s="51"/>
      <x:c r="F100" s="55"/>
      <x:c r="G100" s="55"/>
      <x:c r="H100" s="16" t="str">
        <x:f>IF(C100="","",IF(S100="Выкуплен",E100*(F100-G100),0))</x:f>
      </x:c>
      <x:c r="I100" s="55"/>
      <x:c r="J100" s="16" t="str">
        <x:f>IF(C100="","",IF(S100="Выкуплен",E100*I100,IF(S100="Возврат",MAX(0,E100-U100)*I100,0)))</x:f>
      </x:c>
      <x:c r="K100" s="55"/>
      <x:c r="L100" s="55"/>
      <x:c r="M100" s="55"/>
      <x:c r="N100" s="55"/>
      <x:c r="O100" s="55"/>
      <x:c r="P100" s="16" t="str">
        <x:f>IF(C100="","",H100-J100-SUM(K100:O100))</x:f>
      </x:c>
      <x:c r="Q100" s="17" t="str">
        <x:f>IF(C100="","",IF(H100=0,"",P100/H100))</x:f>
      </x:c>
      <x:c r="R100" s="17" t="str">
        <x:f>IF(C100="","",IF(J100=0,"",(H100-J100)/J100))</x:f>
      </x:c>
      <x:c r="S100" s="51"/>
      <x:c r="T100" s="51"/>
      <x:c r="U100" s="51"/>
      <x:c r="V100" s="11" t="str">
        <x:f>IF(C100="","",IF(OR(S100="Выкуплен",S100="Возврат"),E100,0))</x:f>
      </x:c>
      <x:c r="W100" s="11" t="str">
        <x:f>IF(C100="","",IF(B100="",0,IF(COUNTIFS($B$5:B100,B100)=1,1,0)))</x:f>
      </x:c>
      <x:c r="X100" s="11" t="str">
        <x:f>IF(C100="","",IF(S100="Выкуплен",W100,0))</x:f>
      </x:c>
      <x:c r="Y100" s="11" t="str">
        <x:f>IF(C100="","",IF(S100="Отменён",W100,0))</x:f>
      </x:c>
      <x:c r="Z100" s="11" t="str">
        <x:f>IF(C100="","",IF(S100="Возврат",W100,0))</x:f>
      </x:c>
      <x:c r="AA100" s="11" t="str">
        <x:f>IF(C100="","",IF(S100="Выкуплен",E100,0))</x:f>
      </x:c>
    </x:row>
    <x:row r="101" ht="23" customHeight="1">
      <x:c r="A101" s="54"/>
      <x:c r="B101" s="51"/>
      <x:c r="C101" s="51"/>
      <x:c r="D101" s="11" t="str">
        <x:f>IF(C101="","",_xlfn.IFNA(INDEX(Products[Товар],MATCH(C101,Products[SKU],0)),"Нет SKU"))</x:f>
      </x:c>
      <x:c r="E101" s="51"/>
      <x:c r="F101" s="55"/>
      <x:c r="G101" s="55"/>
      <x:c r="H101" s="16" t="str">
        <x:f>IF(C101="","",IF(S101="Выкуплен",E101*(F101-G101),0))</x:f>
      </x:c>
      <x:c r="I101" s="55"/>
      <x:c r="J101" s="16" t="str">
        <x:f>IF(C101="","",IF(S101="Выкуплен",E101*I101,IF(S101="Возврат",MAX(0,E101-U101)*I101,0)))</x:f>
      </x:c>
      <x:c r="K101" s="55"/>
      <x:c r="L101" s="55"/>
      <x:c r="M101" s="55"/>
      <x:c r="N101" s="55"/>
      <x:c r="O101" s="55"/>
      <x:c r="P101" s="16" t="str">
        <x:f>IF(C101="","",H101-J101-SUM(K101:O101))</x:f>
      </x:c>
      <x:c r="Q101" s="17" t="str">
        <x:f>IF(C101="","",IF(H101=0,"",P101/H101))</x:f>
      </x:c>
      <x:c r="R101" s="17" t="str">
        <x:f>IF(C101="","",IF(J101=0,"",(H101-J101)/J101))</x:f>
      </x:c>
      <x:c r="S101" s="51"/>
      <x:c r="T101" s="51"/>
      <x:c r="U101" s="51"/>
      <x:c r="V101" s="11" t="str">
        <x:f>IF(C101="","",IF(OR(S101="Выкуплен",S101="Возврат"),E101,0))</x:f>
      </x:c>
      <x:c r="W101" s="11" t="str">
        <x:f>IF(C101="","",IF(B101="",0,IF(COUNTIFS($B$5:B101,B101)=1,1,0)))</x:f>
      </x:c>
      <x:c r="X101" s="11" t="str">
        <x:f>IF(C101="","",IF(S101="Выкуплен",W101,0))</x:f>
      </x:c>
      <x:c r="Y101" s="11" t="str">
        <x:f>IF(C101="","",IF(S101="Отменён",W101,0))</x:f>
      </x:c>
      <x:c r="Z101" s="11" t="str">
        <x:f>IF(C101="","",IF(S101="Возврат",W101,0))</x:f>
      </x:c>
      <x:c r="AA101" s="11" t="str">
        <x:f>IF(C101="","",IF(S101="Выкуплен",E101,0))</x:f>
      </x:c>
    </x:row>
    <x:row r="102" ht="23" customHeight="1">
      <x:c r="A102" s="54"/>
      <x:c r="B102" s="51"/>
      <x:c r="C102" s="51"/>
      <x:c r="D102" s="11" t="str">
        <x:f>IF(C102="","",_xlfn.IFNA(INDEX(Products[Товар],MATCH(C102,Products[SKU],0)),"Нет SKU"))</x:f>
      </x:c>
      <x:c r="E102" s="51"/>
      <x:c r="F102" s="55"/>
      <x:c r="G102" s="55"/>
      <x:c r="H102" s="16" t="str">
        <x:f>IF(C102="","",IF(S102="Выкуплен",E102*(F102-G102),0))</x:f>
      </x:c>
      <x:c r="I102" s="55"/>
      <x:c r="J102" s="16" t="str">
        <x:f>IF(C102="","",IF(S102="Выкуплен",E102*I102,IF(S102="Возврат",MAX(0,E102-U102)*I102,0)))</x:f>
      </x:c>
      <x:c r="K102" s="55"/>
      <x:c r="L102" s="55"/>
      <x:c r="M102" s="55"/>
      <x:c r="N102" s="55"/>
      <x:c r="O102" s="55"/>
      <x:c r="P102" s="16" t="str">
        <x:f>IF(C102="","",H102-J102-SUM(K102:O102))</x:f>
      </x:c>
      <x:c r="Q102" s="17" t="str">
        <x:f>IF(C102="","",IF(H102=0,"",P102/H102))</x:f>
      </x:c>
      <x:c r="R102" s="17" t="str">
        <x:f>IF(C102="","",IF(J102=0,"",(H102-J102)/J102))</x:f>
      </x:c>
      <x:c r="S102" s="51"/>
      <x:c r="T102" s="51"/>
      <x:c r="U102" s="51"/>
      <x:c r="V102" s="11" t="str">
        <x:f>IF(C102="","",IF(OR(S102="Выкуплен",S102="Возврат"),E102,0))</x:f>
      </x:c>
      <x:c r="W102" s="11" t="str">
        <x:f>IF(C102="","",IF(B102="",0,IF(COUNTIFS($B$5:B102,B102)=1,1,0)))</x:f>
      </x:c>
      <x:c r="X102" s="11" t="str">
        <x:f>IF(C102="","",IF(S102="Выкуплен",W102,0))</x:f>
      </x:c>
      <x:c r="Y102" s="11" t="str">
        <x:f>IF(C102="","",IF(S102="Отменён",W102,0))</x:f>
      </x:c>
      <x:c r="Z102" s="11" t="str">
        <x:f>IF(C102="","",IF(S102="Возврат",W102,0))</x:f>
      </x:c>
      <x:c r="AA102" s="11" t="str">
        <x:f>IF(C102="","",IF(S102="Выкуплен",E102,0))</x:f>
      </x:c>
    </x:row>
    <x:row r="103" ht="23" customHeight="1">
      <x:c r="A103" s="54"/>
      <x:c r="B103" s="51"/>
      <x:c r="C103" s="51"/>
      <x:c r="D103" s="11" t="str">
        <x:f>IF(C103="","",_xlfn.IFNA(INDEX(Products[Товар],MATCH(C103,Products[SKU],0)),"Нет SKU"))</x:f>
      </x:c>
      <x:c r="E103" s="51"/>
      <x:c r="F103" s="55"/>
      <x:c r="G103" s="55"/>
      <x:c r="H103" s="16" t="str">
        <x:f>IF(C103="","",IF(S103="Выкуплен",E103*(F103-G103),0))</x:f>
      </x:c>
      <x:c r="I103" s="55"/>
      <x:c r="J103" s="16" t="str">
        <x:f>IF(C103="","",IF(S103="Выкуплен",E103*I103,IF(S103="Возврат",MAX(0,E103-U103)*I103,0)))</x:f>
      </x:c>
      <x:c r="K103" s="55"/>
      <x:c r="L103" s="55"/>
      <x:c r="M103" s="55"/>
      <x:c r="N103" s="55"/>
      <x:c r="O103" s="55"/>
      <x:c r="P103" s="16" t="str">
        <x:f>IF(C103="","",H103-J103-SUM(K103:O103))</x:f>
      </x:c>
      <x:c r="Q103" s="17" t="str">
        <x:f>IF(C103="","",IF(H103=0,"",P103/H103))</x:f>
      </x:c>
      <x:c r="R103" s="17" t="str">
        <x:f>IF(C103="","",IF(J103=0,"",(H103-J103)/J103))</x:f>
      </x:c>
      <x:c r="S103" s="51"/>
      <x:c r="T103" s="51"/>
      <x:c r="U103" s="51"/>
      <x:c r="V103" s="11" t="str">
        <x:f>IF(C103="","",IF(OR(S103="Выкуплен",S103="Возврат"),E103,0))</x:f>
      </x:c>
      <x:c r="W103" s="11" t="str">
        <x:f>IF(C103="","",IF(B103="",0,IF(COUNTIFS($B$5:B103,B103)=1,1,0)))</x:f>
      </x:c>
      <x:c r="X103" s="11" t="str">
        <x:f>IF(C103="","",IF(S103="Выкуплен",W103,0))</x:f>
      </x:c>
      <x:c r="Y103" s="11" t="str">
        <x:f>IF(C103="","",IF(S103="Отменён",W103,0))</x:f>
      </x:c>
      <x:c r="Z103" s="11" t="str">
        <x:f>IF(C103="","",IF(S103="Возврат",W103,0))</x:f>
      </x:c>
      <x:c r="AA103" s="11" t="str">
        <x:f>IF(C103="","",IF(S103="Выкуплен",E103,0))</x:f>
      </x:c>
    </x:row>
    <x:row r="104" ht="23" customHeight="1">
      <x:c r="A104" s="54"/>
      <x:c r="B104" s="51"/>
      <x:c r="C104" s="51"/>
      <x:c r="D104" s="11" t="str">
        <x:f>IF(C104="","",_xlfn.IFNA(INDEX(Products[Товар],MATCH(C104,Products[SKU],0)),"Нет SKU"))</x:f>
      </x:c>
      <x:c r="E104" s="51"/>
      <x:c r="F104" s="55"/>
      <x:c r="G104" s="55"/>
      <x:c r="H104" s="16" t="str">
        <x:f>IF(C104="","",IF(S104="Выкуплен",E104*(F104-G104),0))</x:f>
      </x:c>
      <x:c r="I104" s="55"/>
      <x:c r="J104" s="16" t="str">
        <x:f>IF(C104="","",IF(S104="Выкуплен",E104*I104,IF(S104="Возврат",MAX(0,E104-U104)*I104,0)))</x:f>
      </x:c>
      <x:c r="K104" s="55"/>
      <x:c r="L104" s="55"/>
      <x:c r="M104" s="55"/>
      <x:c r="N104" s="55"/>
      <x:c r="O104" s="55"/>
      <x:c r="P104" s="16" t="str">
        <x:f>IF(C104="","",H104-J104-SUM(K104:O104))</x:f>
      </x:c>
      <x:c r="Q104" s="17" t="str">
        <x:f>IF(C104="","",IF(H104=0,"",P104/H104))</x:f>
      </x:c>
      <x:c r="R104" s="17" t="str">
        <x:f>IF(C104="","",IF(J104=0,"",(H104-J104)/J104))</x:f>
      </x:c>
      <x:c r="S104" s="51"/>
      <x:c r="T104" s="51"/>
      <x:c r="U104" s="51"/>
      <x:c r="V104" s="11" t="str">
        <x:f>IF(C104="","",IF(OR(S104="Выкуплен",S104="Возврат"),E104,0))</x:f>
      </x:c>
      <x:c r="W104" s="11" t="str">
        <x:f>IF(C104="","",IF(B104="",0,IF(COUNTIFS($B$5:B104,B104)=1,1,0)))</x:f>
      </x:c>
      <x:c r="X104" s="11" t="str">
        <x:f>IF(C104="","",IF(S104="Выкуплен",W104,0))</x:f>
      </x:c>
      <x:c r="Y104" s="11" t="str">
        <x:f>IF(C104="","",IF(S104="Отменён",W104,0))</x:f>
      </x:c>
      <x:c r="Z104" s="11" t="str">
        <x:f>IF(C104="","",IF(S104="Возврат",W104,0))</x:f>
      </x:c>
      <x:c r="AA104" s="11" t="str">
        <x:f>IF(C104="","",IF(S104="Выкуплен",E104,0))</x:f>
      </x:c>
    </x:row>
    <x:row r="105" ht="23" customHeight="1">
      <x:c r="A105" s="54"/>
      <x:c r="B105" s="51"/>
      <x:c r="C105" s="51"/>
      <x:c r="D105" s="11" t="str">
        <x:f>IF(C105="","",_xlfn.IFNA(INDEX(Products[Товар],MATCH(C105,Products[SKU],0)),"Нет SKU"))</x:f>
      </x:c>
      <x:c r="E105" s="51"/>
      <x:c r="F105" s="55"/>
      <x:c r="G105" s="55"/>
      <x:c r="H105" s="16" t="str">
        <x:f>IF(C105="","",IF(S105="Выкуплен",E105*(F105-G105),0))</x:f>
      </x:c>
      <x:c r="I105" s="55"/>
      <x:c r="J105" s="16" t="str">
        <x:f>IF(C105="","",IF(S105="Выкуплен",E105*I105,IF(S105="Возврат",MAX(0,E105-U105)*I105,0)))</x:f>
      </x:c>
      <x:c r="K105" s="55"/>
      <x:c r="L105" s="55"/>
      <x:c r="M105" s="55"/>
      <x:c r="N105" s="55"/>
      <x:c r="O105" s="55"/>
      <x:c r="P105" s="16" t="str">
        <x:f>IF(C105="","",H105-J105-SUM(K105:O105))</x:f>
      </x:c>
      <x:c r="Q105" s="17" t="str">
        <x:f>IF(C105="","",IF(H105=0,"",P105/H105))</x:f>
      </x:c>
      <x:c r="R105" s="17" t="str">
        <x:f>IF(C105="","",IF(J105=0,"",(H105-J105)/J105))</x:f>
      </x:c>
      <x:c r="S105" s="51"/>
      <x:c r="T105" s="51"/>
      <x:c r="U105" s="51"/>
      <x:c r="V105" s="11" t="str">
        <x:f>IF(C105="","",IF(OR(S105="Выкуплен",S105="Возврат"),E105,0))</x:f>
      </x:c>
      <x:c r="W105" s="11" t="str">
        <x:f>IF(C105="","",IF(B105="",0,IF(COUNTIFS($B$5:B105,B105)=1,1,0)))</x:f>
      </x:c>
      <x:c r="X105" s="11" t="str">
        <x:f>IF(C105="","",IF(S105="Выкуплен",W105,0))</x:f>
      </x:c>
      <x:c r="Y105" s="11" t="str">
        <x:f>IF(C105="","",IF(S105="Отменён",W105,0))</x:f>
      </x:c>
      <x:c r="Z105" s="11" t="str">
        <x:f>IF(C105="","",IF(S105="Возврат",W105,0))</x:f>
      </x:c>
      <x:c r="AA105" s="11" t="str">
        <x:f>IF(C105="","",IF(S105="Выкуплен",E105,0))</x:f>
      </x:c>
    </x:row>
    <x:row r="106" ht="23" customHeight="1">
      <x:c r="A106" s="54"/>
      <x:c r="B106" s="51"/>
      <x:c r="C106" s="51"/>
      <x:c r="D106" s="11" t="str">
        <x:f>IF(C106="","",_xlfn.IFNA(INDEX(Products[Товар],MATCH(C106,Products[SKU],0)),"Нет SKU"))</x:f>
      </x:c>
      <x:c r="E106" s="51"/>
      <x:c r="F106" s="55"/>
      <x:c r="G106" s="55"/>
      <x:c r="H106" s="16" t="str">
        <x:f>IF(C106="","",IF(S106="Выкуплен",E106*(F106-G106),0))</x:f>
      </x:c>
      <x:c r="I106" s="55"/>
      <x:c r="J106" s="16" t="str">
        <x:f>IF(C106="","",IF(S106="Выкуплен",E106*I106,IF(S106="Возврат",MAX(0,E106-U106)*I106,0)))</x:f>
      </x:c>
      <x:c r="K106" s="55"/>
      <x:c r="L106" s="55"/>
      <x:c r="M106" s="55"/>
      <x:c r="N106" s="55"/>
      <x:c r="O106" s="55"/>
      <x:c r="P106" s="16" t="str">
        <x:f>IF(C106="","",H106-J106-SUM(K106:O106))</x:f>
      </x:c>
      <x:c r="Q106" s="17" t="str">
        <x:f>IF(C106="","",IF(H106=0,"",P106/H106))</x:f>
      </x:c>
      <x:c r="R106" s="17" t="str">
        <x:f>IF(C106="","",IF(J106=0,"",(H106-J106)/J106))</x:f>
      </x:c>
      <x:c r="S106" s="51"/>
      <x:c r="T106" s="51"/>
      <x:c r="U106" s="51"/>
      <x:c r="V106" s="11" t="str">
        <x:f>IF(C106="","",IF(OR(S106="Выкуплен",S106="Возврат"),E106,0))</x:f>
      </x:c>
      <x:c r="W106" s="11" t="str">
        <x:f>IF(C106="","",IF(B106="",0,IF(COUNTIFS($B$5:B106,B106)=1,1,0)))</x:f>
      </x:c>
      <x:c r="X106" s="11" t="str">
        <x:f>IF(C106="","",IF(S106="Выкуплен",W106,0))</x:f>
      </x:c>
      <x:c r="Y106" s="11" t="str">
        <x:f>IF(C106="","",IF(S106="Отменён",W106,0))</x:f>
      </x:c>
      <x:c r="Z106" s="11" t="str">
        <x:f>IF(C106="","",IF(S106="Возврат",W106,0))</x:f>
      </x:c>
      <x:c r="AA106" s="11" t="str">
        <x:f>IF(C106="","",IF(S106="Выкуплен",E106,0))</x:f>
      </x:c>
    </x:row>
    <x:row r="107" ht="23" customHeight="1">
      <x:c r="A107" s="54"/>
      <x:c r="B107" s="51"/>
      <x:c r="C107" s="51"/>
      <x:c r="D107" s="11" t="str">
        <x:f>IF(C107="","",_xlfn.IFNA(INDEX(Products[Товар],MATCH(C107,Products[SKU],0)),"Нет SKU"))</x:f>
      </x:c>
      <x:c r="E107" s="51"/>
      <x:c r="F107" s="55"/>
      <x:c r="G107" s="55"/>
      <x:c r="H107" s="16" t="str">
        <x:f>IF(C107="","",IF(S107="Выкуплен",E107*(F107-G107),0))</x:f>
      </x:c>
      <x:c r="I107" s="55"/>
      <x:c r="J107" s="16" t="str">
        <x:f>IF(C107="","",IF(S107="Выкуплен",E107*I107,IF(S107="Возврат",MAX(0,E107-U107)*I107,0)))</x:f>
      </x:c>
      <x:c r="K107" s="55"/>
      <x:c r="L107" s="55"/>
      <x:c r="M107" s="55"/>
      <x:c r="N107" s="55"/>
      <x:c r="O107" s="55"/>
      <x:c r="P107" s="16" t="str">
        <x:f>IF(C107="","",H107-J107-SUM(K107:O107))</x:f>
      </x:c>
      <x:c r="Q107" s="17" t="str">
        <x:f>IF(C107="","",IF(H107=0,"",P107/H107))</x:f>
      </x:c>
      <x:c r="R107" s="17" t="str">
        <x:f>IF(C107="","",IF(J107=0,"",(H107-J107)/J107))</x:f>
      </x:c>
      <x:c r="S107" s="51"/>
      <x:c r="T107" s="51"/>
      <x:c r="U107" s="51"/>
      <x:c r="V107" s="11" t="str">
        <x:f>IF(C107="","",IF(OR(S107="Выкуплен",S107="Возврат"),E107,0))</x:f>
      </x:c>
      <x:c r="W107" s="11" t="str">
        <x:f>IF(C107="","",IF(B107="",0,IF(COUNTIFS($B$5:B107,B107)=1,1,0)))</x:f>
      </x:c>
      <x:c r="X107" s="11" t="str">
        <x:f>IF(C107="","",IF(S107="Выкуплен",W107,0))</x:f>
      </x:c>
      <x:c r="Y107" s="11" t="str">
        <x:f>IF(C107="","",IF(S107="Отменён",W107,0))</x:f>
      </x:c>
      <x:c r="Z107" s="11" t="str">
        <x:f>IF(C107="","",IF(S107="Возврат",W107,0))</x:f>
      </x:c>
      <x:c r="AA107" s="11" t="str">
        <x:f>IF(C107="","",IF(S107="Выкуплен",E107,0))</x:f>
      </x:c>
    </x:row>
    <x:row r="108" ht="23" customHeight="1">
      <x:c r="A108" s="54"/>
      <x:c r="B108" s="51"/>
      <x:c r="C108" s="51"/>
      <x:c r="D108" s="11" t="str">
        <x:f>IF(C108="","",_xlfn.IFNA(INDEX(Products[Товар],MATCH(C108,Products[SKU],0)),"Нет SKU"))</x:f>
      </x:c>
      <x:c r="E108" s="51"/>
      <x:c r="F108" s="55"/>
      <x:c r="G108" s="55"/>
      <x:c r="H108" s="16" t="str">
        <x:f>IF(C108="","",IF(S108="Выкуплен",E108*(F108-G108),0))</x:f>
      </x:c>
      <x:c r="I108" s="55"/>
      <x:c r="J108" s="16" t="str">
        <x:f>IF(C108="","",IF(S108="Выкуплен",E108*I108,IF(S108="Возврат",MAX(0,E108-U108)*I108,0)))</x:f>
      </x:c>
      <x:c r="K108" s="55"/>
      <x:c r="L108" s="55"/>
      <x:c r="M108" s="55"/>
      <x:c r="N108" s="55"/>
      <x:c r="O108" s="55"/>
      <x:c r="P108" s="16" t="str">
        <x:f>IF(C108="","",H108-J108-SUM(K108:O108))</x:f>
      </x:c>
      <x:c r="Q108" s="17" t="str">
        <x:f>IF(C108="","",IF(H108=0,"",P108/H108))</x:f>
      </x:c>
      <x:c r="R108" s="17" t="str">
        <x:f>IF(C108="","",IF(J108=0,"",(H108-J108)/J108))</x:f>
      </x:c>
      <x:c r="S108" s="51"/>
      <x:c r="T108" s="51"/>
      <x:c r="U108" s="51"/>
      <x:c r="V108" s="11" t="str">
        <x:f>IF(C108="","",IF(OR(S108="Выкуплен",S108="Возврат"),E108,0))</x:f>
      </x:c>
      <x:c r="W108" s="11" t="str">
        <x:f>IF(C108="","",IF(B108="",0,IF(COUNTIFS($B$5:B108,B108)=1,1,0)))</x:f>
      </x:c>
      <x:c r="X108" s="11" t="str">
        <x:f>IF(C108="","",IF(S108="Выкуплен",W108,0))</x:f>
      </x:c>
      <x:c r="Y108" s="11" t="str">
        <x:f>IF(C108="","",IF(S108="Отменён",W108,0))</x:f>
      </x:c>
      <x:c r="Z108" s="11" t="str">
        <x:f>IF(C108="","",IF(S108="Возврат",W108,0))</x:f>
      </x:c>
      <x:c r="AA108" s="11" t="str">
        <x:f>IF(C108="","",IF(S108="Выкуплен",E108,0))</x:f>
      </x:c>
    </x:row>
    <x:row r="109" ht="23" customHeight="1">
      <x:c r="A109" s="54"/>
      <x:c r="B109" s="51"/>
      <x:c r="C109" s="51"/>
      <x:c r="D109" s="11" t="str">
        <x:f>IF(C109="","",_xlfn.IFNA(INDEX(Products[Товар],MATCH(C109,Products[SKU],0)),"Нет SKU"))</x:f>
      </x:c>
      <x:c r="E109" s="51"/>
      <x:c r="F109" s="55"/>
      <x:c r="G109" s="55"/>
      <x:c r="H109" s="16" t="str">
        <x:f>IF(C109="","",IF(S109="Выкуплен",E109*(F109-G109),0))</x:f>
      </x:c>
      <x:c r="I109" s="55"/>
      <x:c r="J109" s="16" t="str">
        <x:f>IF(C109="","",IF(S109="Выкуплен",E109*I109,IF(S109="Возврат",MAX(0,E109-U109)*I109,0)))</x:f>
      </x:c>
      <x:c r="K109" s="55"/>
      <x:c r="L109" s="55"/>
      <x:c r="M109" s="55"/>
      <x:c r="N109" s="55"/>
      <x:c r="O109" s="55"/>
      <x:c r="P109" s="16" t="str">
        <x:f>IF(C109="","",H109-J109-SUM(K109:O109))</x:f>
      </x:c>
      <x:c r="Q109" s="17" t="str">
        <x:f>IF(C109="","",IF(H109=0,"",P109/H109))</x:f>
      </x:c>
      <x:c r="R109" s="17" t="str">
        <x:f>IF(C109="","",IF(J109=0,"",(H109-J109)/J109))</x:f>
      </x:c>
      <x:c r="S109" s="51"/>
      <x:c r="T109" s="51"/>
      <x:c r="U109" s="51"/>
      <x:c r="V109" s="11" t="str">
        <x:f>IF(C109="","",IF(OR(S109="Выкуплен",S109="Возврат"),E109,0))</x:f>
      </x:c>
      <x:c r="W109" s="11" t="str">
        <x:f>IF(C109="","",IF(B109="",0,IF(COUNTIFS($B$5:B109,B109)=1,1,0)))</x:f>
      </x:c>
      <x:c r="X109" s="11" t="str">
        <x:f>IF(C109="","",IF(S109="Выкуплен",W109,0))</x:f>
      </x:c>
      <x:c r="Y109" s="11" t="str">
        <x:f>IF(C109="","",IF(S109="Отменён",W109,0))</x:f>
      </x:c>
      <x:c r="Z109" s="11" t="str">
        <x:f>IF(C109="","",IF(S109="Возврат",W109,0))</x:f>
      </x:c>
      <x:c r="AA109" s="11" t="str">
        <x:f>IF(C109="","",IF(S109="Выкуплен",E109,0))</x:f>
      </x:c>
    </x:row>
    <x:row r="110" ht="23" customHeight="1">
      <x:c r="A110" s="54"/>
      <x:c r="B110" s="51"/>
      <x:c r="C110" s="51"/>
      <x:c r="D110" s="11" t="str">
        <x:f>IF(C110="","",_xlfn.IFNA(INDEX(Products[Товар],MATCH(C110,Products[SKU],0)),"Нет SKU"))</x:f>
      </x:c>
      <x:c r="E110" s="51"/>
      <x:c r="F110" s="55"/>
      <x:c r="G110" s="55"/>
      <x:c r="H110" s="16" t="str">
        <x:f>IF(C110="","",IF(S110="Выкуплен",E110*(F110-G110),0))</x:f>
      </x:c>
      <x:c r="I110" s="55"/>
      <x:c r="J110" s="16" t="str">
        <x:f>IF(C110="","",IF(S110="Выкуплен",E110*I110,IF(S110="Возврат",MAX(0,E110-U110)*I110,0)))</x:f>
      </x:c>
      <x:c r="K110" s="55"/>
      <x:c r="L110" s="55"/>
      <x:c r="M110" s="55"/>
      <x:c r="N110" s="55"/>
      <x:c r="O110" s="55"/>
      <x:c r="P110" s="16" t="str">
        <x:f>IF(C110="","",H110-J110-SUM(K110:O110))</x:f>
      </x:c>
      <x:c r="Q110" s="17" t="str">
        <x:f>IF(C110="","",IF(H110=0,"",P110/H110))</x:f>
      </x:c>
      <x:c r="R110" s="17" t="str">
        <x:f>IF(C110="","",IF(J110=0,"",(H110-J110)/J110))</x:f>
      </x:c>
      <x:c r="S110" s="51"/>
      <x:c r="T110" s="51"/>
      <x:c r="U110" s="51"/>
      <x:c r="V110" s="11" t="str">
        <x:f>IF(C110="","",IF(OR(S110="Выкуплен",S110="Возврат"),E110,0))</x:f>
      </x:c>
      <x:c r="W110" s="11" t="str">
        <x:f>IF(C110="","",IF(B110="",0,IF(COUNTIFS($B$5:B110,B110)=1,1,0)))</x:f>
      </x:c>
      <x:c r="X110" s="11" t="str">
        <x:f>IF(C110="","",IF(S110="Выкуплен",W110,0))</x:f>
      </x:c>
      <x:c r="Y110" s="11" t="str">
        <x:f>IF(C110="","",IF(S110="Отменён",W110,0))</x:f>
      </x:c>
      <x:c r="Z110" s="11" t="str">
        <x:f>IF(C110="","",IF(S110="Возврат",W110,0))</x:f>
      </x:c>
      <x:c r="AA110" s="11" t="str">
        <x:f>IF(C110="","",IF(S110="Выкуплен",E110,0))</x:f>
      </x:c>
    </x:row>
    <x:row r="111" ht="23" customHeight="1">
      <x:c r="A111" s="54"/>
      <x:c r="B111" s="51"/>
      <x:c r="C111" s="51"/>
      <x:c r="D111" s="11" t="str">
        <x:f>IF(C111="","",_xlfn.IFNA(INDEX(Products[Товар],MATCH(C111,Products[SKU],0)),"Нет SKU"))</x:f>
      </x:c>
      <x:c r="E111" s="51"/>
      <x:c r="F111" s="55"/>
      <x:c r="G111" s="55"/>
      <x:c r="H111" s="16" t="str">
        <x:f>IF(C111="","",IF(S111="Выкуплен",E111*(F111-G111),0))</x:f>
      </x:c>
      <x:c r="I111" s="55"/>
      <x:c r="J111" s="16" t="str">
        <x:f>IF(C111="","",IF(S111="Выкуплен",E111*I111,IF(S111="Возврат",MAX(0,E111-U111)*I111,0)))</x:f>
      </x:c>
      <x:c r="K111" s="55"/>
      <x:c r="L111" s="55"/>
      <x:c r="M111" s="55"/>
      <x:c r="N111" s="55"/>
      <x:c r="O111" s="55"/>
      <x:c r="P111" s="16" t="str">
        <x:f>IF(C111="","",H111-J111-SUM(K111:O111))</x:f>
      </x:c>
      <x:c r="Q111" s="17" t="str">
        <x:f>IF(C111="","",IF(H111=0,"",P111/H111))</x:f>
      </x:c>
      <x:c r="R111" s="17" t="str">
        <x:f>IF(C111="","",IF(J111=0,"",(H111-J111)/J111))</x:f>
      </x:c>
      <x:c r="S111" s="51"/>
      <x:c r="T111" s="51"/>
      <x:c r="U111" s="51"/>
      <x:c r="V111" s="11" t="str">
        <x:f>IF(C111="","",IF(OR(S111="Выкуплен",S111="Возврат"),E111,0))</x:f>
      </x:c>
      <x:c r="W111" s="11" t="str">
        <x:f>IF(C111="","",IF(B111="",0,IF(COUNTIFS($B$5:B111,B111)=1,1,0)))</x:f>
      </x:c>
      <x:c r="X111" s="11" t="str">
        <x:f>IF(C111="","",IF(S111="Выкуплен",W111,0))</x:f>
      </x:c>
      <x:c r="Y111" s="11" t="str">
        <x:f>IF(C111="","",IF(S111="Отменён",W111,0))</x:f>
      </x:c>
      <x:c r="Z111" s="11" t="str">
        <x:f>IF(C111="","",IF(S111="Возврат",W111,0))</x:f>
      </x:c>
      <x:c r="AA111" s="11" t="str">
        <x:f>IF(C111="","",IF(S111="Выкуплен",E111,0))</x:f>
      </x:c>
    </x:row>
    <x:row r="112" ht="23" customHeight="1">
      <x:c r="A112" s="54"/>
      <x:c r="B112" s="51"/>
      <x:c r="C112" s="51"/>
      <x:c r="D112" s="11" t="str">
        <x:f>IF(C112="","",_xlfn.IFNA(INDEX(Products[Товар],MATCH(C112,Products[SKU],0)),"Нет SKU"))</x:f>
      </x:c>
      <x:c r="E112" s="51"/>
      <x:c r="F112" s="55"/>
      <x:c r="G112" s="55"/>
      <x:c r="H112" s="16" t="str">
        <x:f>IF(C112="","",IF(S112="Выкуплен",E112*(F112-G112),0))</x:f>
      </x:c>
      <x:c r="I112" s="55"/>
      <x:c r="J112" s="16" t="str">
        <x:f>IF(C112="","",IF(S112="Выкуплен",E112*I112,IF(S112="Возврат",MAX(0,E112-U112)*I112,0)))</x:f>
      </x:c>
      <x:c r="K112" s="55"/>
      <x:c r="L112" s="55"/>
      <x:c r="M112" s="55"/>
      <x:c r="N112" s="55"/>
      <x:c r="O112" s="55"/>
      <x:c r="P112" s="16" t="str">
        <x:f>IF(C112="","",H112-J112-SUM(K112:O112))</x:f>
      </x:c>
      <x:c r="Q112" s="17" t="str">
        <x:f>IF(C112="","",IF(H112=0,"",P112/H112))</x:f>
      </x:c>
      <x:c r="R112" s="17" t="str">
        <x:f>IF(C112="","",IF(J112=0,"",(H112-J112)/J112))</x:f>
      </x:c>
      <x:c r="S112" s="51"/>
      <x:c r="T112" s="51"/>
      <x:c r="U112" s="51"/>
      <x:c r="V112" s="11" t="str">
        <x:f>IF(C112="","",IF(OR(S112="Выкуплен",S112="Возврат"),E112,0))</x:f>
      </x:c>
      <x:c r="W112" s="11" t="str">
        <x:f>IF(C112="","",IF(B112="",0,IF(COUNTIFS($B$5:B112,B112)=1,1,0)))</x:f>
      </x:c>
      <x:c r="X112" s="11" t="str">
        <x:f>IF(C112="","",IF(S112="Выкуплен",W112,0))</x:f>
      </x:c>
      <x:c r="Y112" s="11" t="str">
        <x:f>IF(C112="","",IF(S112="Отменён",W112,0))</x:f>
      </x:c>
      <x:c r="Z112" s="11" t="str">
        <x:f>IF(C112="","",IF(S112="Возврат",W112,0))</x:f>
      </x:c>
      <x:c r="AA112" s="11" t="str">
        <x:f>IF(C112="","",IF(S112="Выкуплен",E112,0))</x:f>
      </x:c>
    </x:row>
    <x:row r="113" ht="23" customHeight="1">
      <x:c r="A113" s="54"/>
      <x:c r="B113" s="51"/>
      <x:c r="C113" s="51"/>
      <x:c r="D113" s="11" t="str">
        <x:f>IF(C113="","",_xlfn.IFNA(INDEX(Products[Товар],MATCH(C113,Products[SKU],0)),"Нет SKU"))</x:f>
      </x:c>
      <x:c r="E113" s="51"/>
      <x:c r="F113" s="55"/>
      <x:c r="G113" s="55"/>
      <x:c r="H113" s="16" t="str">
        <x:f>IF(C113="","",IF(S113="Выкуплен",E113*(F113-G113),0))</x:f>
      </x:c>
      <x:c r="I113" s="55"/>
      <x:c r="J113" s="16" t="str">
        <x:f>IF(C113="","",IF(S113="Выкуплен",E113*I113,IF(S113="Возврат",MAX(0,E113-U113)*I113,0)))</x:f>
      </x:c>
      <x:c r="K113" s="55"/>
      <x:c r="L113" s="55"/>
      <x:c r="M113" s="55"/>
      <x:c r="N113" s="55"/>
      <x:c r="O113" s="55"/>
      <x:c r="P113" s="16" t="str">
        <x:f>IF(C113="","",H113-J113-SUM(K113:O113))</x:f>
      </x:c>
      <x:c r="Q113" s="17" t="str">
        <x:f>IF(C113="","",IF(H113=0,"",P113/H113))</x:f>
      </x:c>
      <x:c r="R113" s="17" t="str">
        <x:f>IF(C113="","",IF(J113=0,"",(H113-J113)/J113))</x:f>
      </x:c>
      <x:c r="S113" s="51"/>
      <x:c r="T113" s="51"/>
      <x:c r="U113" s="51"/>
      <x:c r="V113" s="11" t="str">
        <x:f>IF(C113="","",IF(OR(S113="Выкуплен",S113="Возврат"),E113,0))</x:f>
      </x:c>
      <x:c r="W113" s="11" t="str">
        <x:f>IF(C113="","",IF(B113="",0,IF(COUNTIFS($B$5:B113,B113)=1,1,0)))</x:f>
      </x:c>
      <x:c r="X113" s="11" t="str">
        <x:f>IF(C113="","",IF(S113="Выкуплен",W113,0))</x:f>
      </x:c>
      <x:c r="Y113" s="11" t="str">
        <x:f>IF(C113="","",IF(S113="Отменён",W113,0))</x:f>
      </x:c>
      <x:c r="Z113" s="11" t="str">
        <x:f>IF(C113="","",IF(S113="Возврат",W113,0))</x:f>
      </x:c>
      <x:c r="AA113" s="11" t="str">
        <x:f>IF(C113="","",IF(S113="Выкуплен",E113,0))</x:f>
      </x:c>
    </x:row>
    <x:row r="114" ht="23" customHeight="1">
      <x:c r="A114" s="54"/>
      <x:c r="B114" s="51"/>
      <x:c r="C114" s="51"/>
      <x:c r="D114" s="11" t="str">
        <x:f>IF(C114="","",_xlfn.IFNA(INDEX(Products[Товар],MATCH(C114,Products[SKU],0)),"Нет SKU"))</x:f>
      </x:c>
      <x:c r="E114" s="51"/>
      <x:c r="F114" s="55"/>
      <x:c r="G114" s="55"/>
      <x:c r="H114" s="16" t="str">
        <x:f>IF(C114="","",IF(S114="Выкуплен",E114*(F114-G114),0))</x:f>
      </x:c>
      <x:c r="I114" s="55"/>
      <x:c r="J114" s="16" t="str">
        <x:f>IF(C114="","",IF(S114="Выкуплен",E114*I114,IF(S114="Возврат",MAX(0,E114-U114)*I114,0)))</x:f>
      </x:c>
      <x:c r="K114" s="55"/>
      <x:c r="L114" s="55"/>
      <x:c r="M114" s="55"/>
      <x:c r="N114" s="55"/>
      <x:c r="O114" s="55"/>
      <x:c r="P114" s="16" t="str">
        <x:f>IF(C114="","",H114-J114-SUM(K114:O114))</x:f>
      </x:c>
      <x:c r="Q114" s="17" t="str">
        <x:f>IF(C114="","",IF(H114=0,"",P114/H114))</x:f>
      </x:c>
      <x:c r="R114" s="17" t="str">
        <x:f>IF(C114="","",IF(J114=0,"",(H114-J114)/J114))</x:f>
      </x:c>
      <x:c r="S114" s="51"/>
      <x:c r="T114" s="51"/>
      <x:c r="U114" s="51"/>
      <x:c r="V114" s="11" t="str">
        <x:f>IF(C114="","",IF(OR(S114="Выкуплен",S114="Возврат"),E114,0))</x:f>
      </x:c>
      <x:c r="W114" s="11" t="str">
        <x:f>IF(C114="","",IF(B114="",0,IF(COUNTIFS($B$5:B114,B114)=1,1,0)))</x:f>
      </x:c>
      <x:c r="X114" s="11" t="str">
        <x:f>IF(C114="","",IF(S114="Выкуплен",W114,0))</x:f>
      </x:c>
      <x:c r="Y114" s="11" t="str">
        <x:f>IF(C114="","",IF(S114="Отменён",W114,0))</x:f>
      </x:c>
      <x:c r="Z114" s="11" t="str">
        <x:f>IF(C114="","",IF(S114="Возврат",W114,0))</x:f>
      </x:c>
      <x:c r="AA114" s="11" t="str">
        <x:f>IF(C114="","",IF(S114="Выкуплен",E114,0))</x:f>
      </x:c>
    </x:row>
    <x:row r="115" ht="23" customHeight="1">
      <x:c r="A115" s="54"/>
      <x:c r="B115" s="51"/>
      <x:c r="C115" s="51"/>
      <x:c r="D115" s="11" t="str">
        <x:f>IF(C115="","",_xlfn.IFNA(INDEX(Products[Товар],MATCH(C115,Products[SKU],0)),"Нет SKU"))</x:f>
      </x:c>
      <x:c r="E115" s="51"/>
      <x:c r="F115" s="55"/>
      <x:c r="G115" s="55"/>
      <x:c r="H115" s="16" t="str">
        <x:f>IF(C115="","",IF(S115="Выкуплен",E115*(F115-G115),0))</x:f>
      </x:c>
      <x:c r="I115" s="55"/>
      <x:c r="J115" s="16" t="str">
        <x:f>IF(C115="","",IF(S115="Выкуплен",E115*I115,IF(S115="Возврат",MAX(0,E115-U115)*I115,0)))</x:f>
      </x:c>
      <x:c r="K115" s="55"/>
      <x:c r="L115" s="55"/>
      <x:c r="M115" s="55"/>
      <x:c r="N115" s="55"/>
      <x:c r="O115" s="55"/>
      <x:c r="P115" s="16" t="str">
        <x:f>IF(C115="","",H115-J115-SUM(K115:O115))</x:f>
      </x:c>
      <x:c r="Q115" s="17" t="str">
        <x:f>IF(C115="","",IF(H115=0,"",P115/H115))</x:f>
      </x:c>
      <x:c r="R115" s="17" t="str">
        <x:f>IF(C115="","",IF(J115=0,"",(H115-J115)/J115))</x:f>
      </x:c>
      <x:c r="S115" s="51"/>
      <x:c r="T115" s="51"/>
      <x:c r="U115" s="51"/>
      <x:c r="V115" s="11" t="str">
        <x:f>IF(C115="","",IF(OR(S115="Выкуплен",S115="Возврат"),E115,0))</x:f>
      </x:c>
      <x:c r="W115" s="11" t="str">
        <x:f>IF(C115="","",IF(B115="",0,IF(COUNTIFS($B$5:B115,B115)=1,1,0)))</x:f>
      </x:c>
      <x:c r="X115" s="11" t="str">
        <x:f>IF(C115="","",IF(S115="Выкуплен",W115,0))</x:f>
      </x:c>
      <x:c r="Y115" s="11" t="str">
        <x:f>IF(C115="","",IF(S115="Отменён",W115,0))</x:f>
      </x:c>
      <x:c r="Z115" s="11" t="str">
        <x:f>IF(C115="","",IF(S115="Возврат",W115,0))</x:f>
      </x:c>
      <x:c r="AA115" s="11" t="str">
        <x:f>IF(C115="","",IF(S115="Выкуплен",E115,0))</x:f>
      </x:c>
    </x:row>
    <x:row r="116" ht="23" customHeight="1">
      <x:c r="A116" s="54"/>
      <x:c r="B116" s="51"/>
      <x:c r="C116" s="51"/>
      <x:c r="D116" s="11" t="str">
        <x:f>IF(C116="","",_xlfn.IFNA(INDEX(Products[Товар],MATCH(C116,Products[SKU],0)),"Нет SKU"))</x:f>
      </x:c>
      <x:c r="E116" s="51"/>
      <x:c r="F116" s="55"/>
      <x:c r="G116" s="55"/>
      <x:c r="H116" s="16" t="str">
        <x:f>IF(C116="","",IF(S116="Выкуплен",E116*(F116-G116),0))</x:f>
      </x:c>
      <x:c r="I116" s="55"/>
      <x:c r="J116" s="16" t="str">
        <x:f>IF(C116="","",IF(S116="Выкуплен",E116*I116,IF(S116="Возврат",MAX(0,E116-U116)*I116,0)))</x:f>
      </x:c>
      <x:c r="K116" s="55"/>
      <x:c r="L116" s="55"/>
      <x:c r="M116" s="55"/>
      <x:c r="N116" s="55"/>
      <x:c r="O116" s="55"/>
      <x:c r="P116" s="16" t="str">
        <x:f>IF(C116="","",H116-J116-SUM(K116:O116))</x:f>
      </x:c>
      <x:c r="Q116" s="17" t="str">
        <x:f>IF(C116="","",IF(H116=0,"",P116/H116))</x:f>
      </x:c>
      <x:c r="R116" s="17" t="str">
        <x:f>IF(C116="","",IF(J116=0,"",(H116-J116)/J116))</x:f>
      </x:c>
      <x:c r="S116" s="51"/>
      <x:c r="T116" s="51"/>
      <x:c r="U116" s="51"/>
      <x:c r="V116" s="11" t="str">
        <x:f>IF(C116="","",IF(OR(S116="Выкуплен",S116="Возврат"),E116,0))</x:f>
      </x:c>
      <x:c r="W116" s="11" t="str">
        <x:f>IF(C116="","",IF(B116="",0,IF(COUNTIFS($B$5:B116,B116)=1,1,0)))</x:f>
      </x:c>
      <x:c r="X116" s="11" t="str">
        <x:f>IF(C116="","",IF(S116="Выкуплен",W116,0))</x:f>
      </x:c>
      <x:c r="Y116" s="11" t="str">
        <x:f>IF(C116="","",IF(S116="Отменён",W116,0))</x:f>
      </x:c>
      <x:c r="Z116" s="11" t="str">
        <x:f>IF(C116="","",IF(S116="Возврат",W116,0))</x:f>
      </x:c>
      <x:c r="AA116" s="11" t="str">
        <x:f>IF(C116="","",IF(S116="Выкуплен",E116,0))</x:f>
      </x:c>
    </x:row>
    <x:row r="117" ht="23" customHeight="1">
      <x:c r="A117" s="54"/>
      <x:c r="B117" s="51"/>
      <x:c r="C117" s="51"/>
      <x:c r="D117" s="11" t="str">
        <x:f>IF(C117="","",_xlfn.IFNA(INDEX(Products[Товар],MATCH(C117,Products[SKU],0)),"Нет SKU"))</x:f>
      </x:c>
      <x:c r="E117" s="51"/>
      <x:c r="F117" s="55"/>
      <x:c r="G117" s="55"/>
      <x:c r="H117" s="16" t="str">
        <x:f>IF(C117="","",IF(S117="Выкуплен",E117*(F117-G117),0))</x:f>
      </x:c>
      <x:c r="I117" s="55"/>
      <x:c r="J117" s="16" t="str">
        <x:f>IF(C117="","",IF(S117="Выкуплен",E117*I117,IF(S117="Возврат",MAX(0,E117-U117)*I117,0)))</x:f>
      </x:c>
      <x:c r="K117" s="55"/>
      <x:c r="L117" s="55"/>
      <x:c r="M117" s="55"/>
      <x:c r="N117" s="55"/>
      <x:c r="O117" s="55"/>
      <x:c r="P117" s="16" t="str">
        <x:f>IF(C117="","",H117-J117-SUM(K117:O117))</x:f>
      </x:c>
      <x:c r="Q117" s="17" t="str">
        <x:f>IF(C117="","",IF(H117=0,"",P117/H117))</x:f>
      </x:c>
      <x:c r="R117" s="17" t="str">
        <x:f>IF(C117="","",IF(J117=0,"",(H117-J117)/J117))</x:f>
      </x:c>
      <x:c r="S117" s="51"/>
      <x:c r="T117" s="51"/>
      <x:c r="U117" s="51"/>
      <x:c r="V117" s="11" t="str">
        <x:f>IF(C117="","",IF(OR(S117="Выкуплен",S117="Возврат"),E117,0))</x:f>
      </x:c>
      <x:c r="W117" s="11" t="str">
        <x:f>IF(C117="","",IF(B117="",0,IF(COUNTIFS($B$5:B117,B117)=1,1,0)))</x:f>
      </x:c>
      <x:c r="X117" s="11" t="str">
        <x:f>IF(C117="","",IF(S117="Выкуплен",W117,0))</x:f>
      </x:c>
      <x:c r="Y117" s="11" t="str">
        <x:f>IF(C117="","",IF(S117="Отменён",W117,0))</x:f>
      </x:c>
      <x:c r="Z117" s="11" t="str">
        <x:f>IF(C117="","",IF(S117="Возврат",W117,0))</x:f>
      </x:c>
      <x:c r="AA117" s="11" t="str">
        <x:f>IF(C117="","",IF(S117="Выкуплен",E117,0))</x:f>
      </x:c>
    </x:row>
    <x:row r="118" ht="23" customHeight="1">
      <x:c r="A118" s="54"/>
      <x:c r="B118" s="51"/>
      <x:c r="C118" s="51"/>
      <x:c r="D118" s="11" t="str">
        <x:f>IF(C118="","",_xlfn.IFNA(INDEX(Products[Товар],MATCH(C118,Products[SKU],0)),"Нет SKU"))</x:f>
      </x:c>
      <x:c r="E118" s="51"/>
      <x:c r="F118" s="55"/>
      <x:c r="G118" s="55"/>
      <x:c r="H118" s="16" t="str">
        <x:f>IF(C118="","",IF(S118="Выкуплен",E118*(F118-G118),0))</x:f>
      </x:c>
      <x:c r="I118" s="55"/>
      <x:c r="J118" s="16" t="str">
        <x:f>IF(C118="","",IF(S118="Выкуплен",E118*I118,IF(S118="Возврат",MAX(0,E118-U118)*I118,0)))</x:f>
      </x:c>
      <x:c r="K118" s="55"/>
      <x:c r="L118" s="55"/>
      <x:c r="M118" s="55"/>
      <x:c r="N118" s="55"/>
      <x:c r="O118" s="55"/>
      <x:c r="P118" s="16" t="str">
        <x:f>IF(C118="","",H118-J118-SUM(K118:O118))</x:f>
      </x:c>
      <x:c r="Q118" s="17" t="str">
        <x:f>IF(C118="","",IF(H118=0,"",P118/H118))</x:f>
      </x:c>
      <x:c r="R118" s="17" t="str">
        <x:f>IF(C118="","",IF(J118=0,"",(H118-J118)/J118))</x:f>
      </x:c>
      <x:c r="S118" s="51"/>
      <x:c r="T118" s="51"/>
      <x:c r="U118" s="51"/>
      <x:c r="V118" s="11" t="str">
        <x:f>IF(C118="","",IF(OR(S118="Выкуплен",S118="Возврат"),E118,0))</x:f>
      </x:c>
      <x:c r="W118" s="11" t="str">
        <x:f>IF(C118="","",IF(B118="",0,IF(COUNTIFS($B$5:B118,B118)=1,1,0)))</x:f>
      </x:c>
      <x:c r="X118" s="11" t="str">
        <x:f>IF(C118="","",IF(S118="Выкуплен",W118,0))</x:f>
      </x:c>
      <x:c r="Y118" s="11" t="str">
        <x:f>IF(C118="","",IF(S118="Отменён",W118,0))</x:f>
      </x:c>
      <x:c r="Z118" s="11" t="str">
        <x:f>IF(C118="","",IF(S118="Возврат",W118,0))</x:f>
      </x:c>
      <x:c r="AA118" s="11" t="str">
        <x:f>IF(C118="","",IF(S118="Выкуплен",E118,0))</x:f>
      </x:c>
    </x:row>
    <x:row r="119" ht="23" customHeight="1">
      <x:c r="A119" s="54"/>
      <x:c r="B119" s="51"/>
      <x:c r="C119" s="51"/>
      <x:c r="D119" s="11" t="str">
        <x:f>IF(C119="","",_xlfn.IFNA(INDEX(Products[Товар],MATCH(C119,Products[SKU],0)),"Нет SKU"))</x:f>
      </x:c>
      <x:c r="E119" s="51"/>
      <x:c r="F119" s="55"/>
      <x:c r="G119" s="55"/>
      <x:c r="H119" s="16" t="str">
        <x:f>IF(C119="","",IF(S119="Выкуплен",E119*(F119-G119),0))</x:f>
      </x:c>
      <x:c r="I119" s="55"/>
      <x:c r="J119" s="16" t="str">
        <x:f>IF(C119="","",IF(S119="Выкуплен",E119*I119,IF(S119="Возврат",MAX(0,E119-U119)*I119,0)))</x:f>
      </x:c>
      <x:c r="K119" s="55"/>
      <x:c r="L119" s="55"/>
      <x:c r="M119" s="55"/>
      <x:c r="N119" s="55"/>
      <x:c r="O119" s="55"/>
      <x:c r="P119" s="16" t="str">
        <x:f>IF(C119="","",H119-J119-SUM(K119:O119))</x:f>
      </x:c>
      <x:c r="Q119" s="17" t="str">
        <x:f>IF(C119="","",IF(H119=0,"",P119/H119))</x:f>
      </x:c>
      <x:c r="R119" s="17" t="str">
        <x:f>IF(C119="","",IF(J119=0,"",(H119-J119)/J119))</x:f>
      </x:c>
      <x:c r="S119" s="51"/>
      <x:c r="T119" s="51"/>
      <x:c r="U119" s="51"/>
      <x:c r="V119" s="11" t="str">
        <x:f>IF(C119="","",IF(OR(S119="Выкуплен",S119="Возврат"),E119,0))</x:f>
      </x:c>
      <x:c r="W119" s="11" t="str">
        <x:f>IF(C119="","",IF(B119="",0,IF(COUNTIFS($B$5:B119,B119)=1,1,0)))</x:f>
      </x:c>
      <x:c r="X119" s="11" t="str">
        <x:f>IF(C119="","",IF(S119="Выкуплен",W119,0))</x:f>
      </x:c>
      <x:c r="Y119" s="11" t="str">
        <x:f>IF(C119="","",IF(S119="Отменён",W119,0))</x:f>
      </x:c>
      <x:c r="Z119" s="11" t="str">
        <x:f>IF(C119="","",IF(S119="Возврат",W119,0))</x:f>
      </x:c>
      <x:c r="AA119" s="11" t="str">
        <x:f>IF(C119="","",IF(S119="Выкуплен",E119,0))</x:f>
      </x:c>
    </x:row>
    <x:row r="120" ht="23" customHeight="1">
      <x:c r="A120" s="54"/>
      <x:c r="B120" s="51"/>
      <x:c r="C120" s="51"/>
      <x:c r="D120" s="11" t="str">
        <x:f>IF(C120="","",_xlfn.IFNA(INDEX(Products[Товар],MATCH(C120,Products[SKU],0)),"Нет SKU"))</x:f>
      </x:c>
      <x:c r="E120" s="51"/>
      <x:c r="F120" s="55"/>
      <x:c r="G120" s="55"/>
      <x:c r="H120" s="16" t="str">
        <x:f>IF(C120="","",IF(S120="Выкуплен",E120*(F120-G120),0))</x:f>
      </x:c>
      <x:c r="I120" s="55"/>
      <x:c r="J120" s="16" t="str">
        <x:f>IF(C120="","",IF(S120="Выкуплен",E120*I120,IF(S120="Возврат",MAX(0,E120-U120)*I120,0)))</x:f>
      </x:c>
      <x:c r="K120" s="55"/>
      <x:c r="L120" s="55"/>
      <x:c r="M120" s="55"/>
      <x:c r="N120" s="55"/>
      <x:c r="O120" s="55"/>
      <x:c r="P120" s="16" t="str">
        <x:f>IF(C120="","",H120-J120-SUM(K120:O120))</x:f>
      </x:c>
      <x:c r="Q120" s="17" t="str">
        <x:f>IF(C120="","",IF(H120=0,"",P120/H120))</x:f>
      </x:c>
      <x:c r="R120" s="17" t="str">
        <x:f>IF(C120="","",IF(J120=0,"",(H120-J120)/J120))</x:f>
      </x:c>
      <x:c r="S120" s="51"/>
      <x:c r="T120" s="51"/>
      <x:c r="U120" s="51"/>
      <x:c r="V120" s="11" t="str">
        <x:f>IF(C120="","",IF(OR(S120="Выкуплен",S120="Возврат"),E120,0))</x:f>
      </x:c>
      <x:c r="W120" s="11" t="str">
        <x:f>IF(C120="","",IF(B120="",0,IF(COUNTIFS($B$5:B120,B120)=1,1,0)))</x:f>
      </x:c>
      <x:c r="X120" s="11" t="str">
        <x:f>IF(C120="","",IF(S120="Выкуплен",W120,0))</x:f>
      </x:c>
      <x:c r="Y120" s="11" t="str">
        <x:f>IF(C120="","",IF(S120="Отменён",W120,0))</x:f>
      </x:c>
      <x:c r="Z120" s="11" t="str">
        <x:f>IF(C120="","",IF(S120="Возврат",W120,0))</x:f>
      </x:c>
      <x:c r="AA120" s="11" t="str">
        <x:f>IF(C120="","",IF(S120="Выкуплен",E120,0))</x:f>
      </x:c>
    </x:row>
    <x:row r="121" ht="23" customHeight="1">
      <x:c r="A121" s="54"/>
      <x:c r="B121" s="51"/>
      <x:c r="C121" s="51"/>
      <x:c r="D121" s="11" t="str">
        <x:f>IF(C121="","",_xlfn.IFNA(INDEX(Products[Товар],MATCH(C121,Products[SKU],0)),"Нет SKU"))</x:f>
      </x:c>
      <x:c r="E121" s="51"/>
      <x:c r="F121" s="55"/>
      <x:c r="G121" s="55"/>
      <x:c r="H121" s="16" t="str">
        <x:f>IF(C121="","",IF(S121="Выкуплен",E121*(F121-G121),0))</x:f>
      </x:c>
      <x:c r="I121" s="55"/>
      <x:c r="J121" s="16" t="str">
        <x:f>IF(C121="","",IF(S121="Выкуплен",E121*I121,IF(S121="Возврат",MAX(0,E121-U121)*I121,0)))</x:f>
      </x:c>
      <x:c r="K121" s="55"/>
      <x:c r="L121" s="55"/>
      <x:c r="M121" s="55"/>
      <x:c r="N121" s="55"/>
      <x:c r="O121" s="55"/>
      <x:c r="P121" s="16" t="str">
        <x:f>IF(C121="","",H121-J121-SUM(K121:O121))</x:f>
      </x:c>
      <x:c r="Q121" s="17" t="str">
        <x:f>IF(C121="","",IF(H121=0,"",P121/H121))</x:f>
      </x:c>
      <x:c r="R121" s="17" t="str">
        <x:f>IF(C121="","",IF(J121=0,"",(H121-J121)/J121))</x:f>
      </x:c>
      <x:c r="S121" s="51"/>
      <x:c r="T121" s="51"/>
      <x:c r="U121" s="51"/>
      <x:c r="V121" s="11" t="str">
        <x:f>IF(C121="","",IF(OR(S121="Выкуплен",S121="Возврат"),E121,0))</x:f>
      </x:c>
      <x:c r="W121" s="11" t="str">
        <x:f>IF(C121="","",IF(B121="",0,IF(COUNTIFS($B$5:B121,B121)=1,1,0)))</x:f>
      </x:c>
      <x:c r="X121" s="11" t="str">
        <x:f>IF(C121="","",IF(S121="Выкуплен",W121,0))</x:f>
      </x:c>
      <x:c r="Y121" s="11" t="str">
        <x:f>IF(C121="","",IF(S121="Отменён",W121,0))</x:f>
      </x:c>
      <x:c r="Z121" s="11" t="str">
        <x:f>IF(C121="","",IF(S121="Возврат",W121,0))</x:f>
      </x:c>
      <x:c r="AA121" s="11" t="str">
        <x:f>IF(C121="","",IF(S121="Выкуплен",E121,0))</x:f>
      </x:c>
    </x:row>
    <x:row r="122" ht="23" customHeight="1">
      <x:c r="A122" s="54"/>
      <x:c r="B122" s="51"/>
      <x:c r="C122" s="51"/>
      <x:c r="D122" s="11" t="str">
        <x:f>IF(C122="","",_xlfn.IFNA(INDEX(Products[Товар],MATCH(C122,Products[SKU],0)),"Нет SKU"))</x:f>
      </x:c>
      <x:c r="E122" s="51"/>
      <x:c r="F122" s="55"/>
      <x:c r="G122" s="55"/>
      <x:c r="H122" s="16" t="str">
        <x:f>IF(C122="","",IF(S122="Выкуплен",E122*(F122-G122),0))</x:f>
      </x:c>
      <x:c r="I122" s="55"/>
      <x:c r="J122" s="16" t="str">
        <x:f>IF(C122="","",IF(S122="Выкуплен",E122*I122,IF(S122="Возврат",MAX(0,E122-U122)*I122,0)))</x:f>
      </x:c>
      <x:c r="K122" s="55"/>
      <x:c r="L122" s="55"/>
      <x:c r="M122" s="55"/>
      <x:c r="N122" s="55"/>
      <x:c r="O122" s="55"/>
      <x:c r="P122" s="16" t="str">
        <x:f>IF(C122="","",H122-J122-SUM(K122:O122))</x:f>
      </x:c>
      <x:c r="Q122" s="17" t="str">
        <x:f>IF(C122="","",IF(H122=0,"",P122/H122))</x:f>
      </x:c>
      <x:c r="R122" s="17" t="str">
        <x:f>IF(C122="","",IF(J122=0,"",(H122-J122)/J122))</x:f>
      </x:c>
      <x:c r="S122" s="51"/>
      <x:c r="T122" s="51"/>
      <x:c r="U122" s="51"/>
      <x:c r="V122" s="11" t="str">
        <x:f>IF(C122="","",IF(OR(S122="Выкуплен",S122="Возврат"),E122,0))</x:f>
      </x:c>
      <x:c r="W122" s="11" t="str">
        <x:f>IF(C122="","",IF(B122="",0,IF(COUNTIFS($B$5:B122,B122)=1,1,0)))</x:f>
      </x:c>
      <x:c r="X122" s="11" t="str">
        <x:f>IF(C122="","",IF(S122="Выкуплен",W122,0))</x:f>
      </x:c>
      <x:c r="Y122" s="11" t="str">
        <x:f>IF(C122="","",IF(S122="Отменён",W122,0))</x:f>
      </x:c>
      <x:c r="Z122" s="11" t="str">
        <x:f>IF(C122="","",IF(S122="Возврат",W122,0))</x:f>
      </x:c>
      <x:c r="AA122" s="11" t="str">
        <x:f>IF(C122="","",IF(S122="Выкуплен",E122,0))</x:f>
      </x:c>
    </x:row>
    <x:row r="123" ht="23" customHeight="1">
      <x:c r="A123" s="54"/>
      <x:c r="B123" s="51"/>
      <x:c r="C123" s="51"/>
      <x:c r="D123" s="11" t="str">
        <x:f>IF(C123="","",_xlfn.IFNA(INDEX(Products[Товар],MATCH(C123,Products[SKU],0)),"Нет SKU"))</x:f>
      </x:c>
      <x:c r="E123" s="51"/>
      <x:c r="F123" s="55"/>
      <x:c r="G123" s="55"/>
      <x:c r="H123" s="16" t="str">
        <x:f>IF(C123="","",IF(S123="Выкуплен",E123*(F123-G123),0))</x:f>
      </x:c>
      <x:c r="I123" s="55"/>
      <x:c r="J123" s="16" t="str">
        <x:f>IF(C123="","",IF(S123="Выкуплен",E123*I123,IF(S123="Возврат",MAX(0,E123-U123)*I123,0)))</x:f>
      </x:c>
      <x:c r="K123" s="55"/>
      <x:c r="L123" s="55"/>
      <x:c r="M123" s="55"/>
      <x:c r="N123" s="55"/>
      <x:c r="O123" s="55"/>
      <x:c r="P123" s="16" t="str">
        <x:f>IF(C123="","",H123-J123-SUM(K123:O123))</x:f>
      </x:c>
      <x:c r="Q123" s="17" t="str">
        <x:f>IF(C123="","",IF(H123=0,"",P123/H123))</x:f>
      </x:c>
      <x:c r="R123" s="17" t="str">
        <x:f>IF(C123="","",IF(J123=0,"",(H123-J123)/J123))</x:f>
      </x:c>
      <x:c r="S123" s="51"/>
      <x:c r="T123" s="51"/>
      <x:c r="U123" s="51"/>
      <x:c r="V123" s="11" t="str">
        <x:f>IF(C123="","",IF(OR(S123="Выкуплен",S123="Возврат"),E123,0))</x:f>
      </x:c>
      <x:c r="W123" s="11" t="str">
        <x:f>IF(C123="","",IF(B123="",0,IF(COUNTIFS($B$5:B123,B123)=1,1,0)))</x:f>
      </x:c>
      <x:c r="X123" s="11" t="str">
        <x:f>IF(C123="","",IF(S123="Выкуплен",W123,0))</x:f>
      </x:c>
      <x:c r="Y123" s="11" t="str">
        <x:f>IF(C123="","",IF(S123="Отменён",W123,0))</x:f>
      </x:c>
      <x:c r="Z123" s="11" t="str">
        <x:f>IF(C123="","",IF(S123="Возврат",W123,0))</x:f>
      </x:c>
      <x:c r="AA123" s="11" t="str">
        <x:f>IF(C123="","",IF(S123="Выкуплен",E123,0))</x:f>
      </x:c>
    </x:row>
    <x:row r="124" ht="23" customHeight="1">
      <x:c r="A124" s="54"/>
      <x:c r="B124" s="51"/>
      <x:c r="C124" s="51"/>
      <x:c r="D124" s="11" t="str">
        <x:f>IF(C124="","",_xlfn.IFNA(INDEX(Products[Товар],MATCH(C124,Products[SKU],0)),"Нет SKU"))</x:f>
      </x:c>
      <x:c r="E124" s="51"/>
      <x:c r="F124" s="55"/>
      <x:c r="G124" s="55"/>
      <x:c r="H124" s="16" t="str">
        <x:f>IF(C124="","",IF(S124="Выкуплен",E124*(F124-G124),0))</x:f>
      </x:c>
      <x:c r="I124" s="55"/>
      <x:c r="J124" s="16" t="str">
        <x:f>IF(C124="","",IF(S124="Выкуплен",E124*I124,IF(S124="Возврат",MAX(0,E124-U124)*I124,0)))</x:f>
      </x:c>
      <x:c r="K124" s="55"/>
      <x:c r="L124" s="55"/>
      <x:c r="M124" s="55"/>
      <x:c r="N124" s="55"/>
      <x:c r="O124" s="55"/>
      <x:c r="P124" s="16" t="str">
        <x:f>IF(C124="","",H124-J124-SUM(K124:O124))</x:f>
      </x:c>
      <x:c r="Q124" s="17" t="str">
        <x:f>IF(C124="","",IF(H124=0,"",P124/H124))</x:f>
      </x:c>
      <x:c r="R124" s="17" t="str">
        <x:f>IF(C124="","",IF(J124=0,"",(H124-J124)/J124))</x:f>
      </x:c>
      <x:c r="S124" s="51"/>
      <x:c r="T124" s="51"/>
      <x:c r="U124" s="51"/>
      <x:c r="V124" s="11" t="str">
        <x:f>IF(C124="","",IF(OR(S124="Выкуплен",S124="Возврат"),E124,0))</x:f>
      </x:c>
      <x:c r="W124" s="11" t="str">
        <x:f>IF(C124="","",IF(B124="",0,IF(COUNTIFS($B$5:B124,B124)=1,1,0)))</x:f>
      </x:c>
      <x:c r="X124" s="11" t="str">
        <x:f>IF(C124="","",IF(S124="Выкуплен",W124,0))</x:f>
      </x:c>
      <x:c r="Y124" s="11" t="str">
        <x:f>IF(C124="","",IF(S124="Отменён",W124,0))</x:f>
      </x:c>
      <x:c r="Z124" s="11" t="str">
        <x:f>IF(C124="","",IF(S124="Возврат",W124,0))</x:f>
      </x:c>
      <x:c r="AA124" s="11" t="str">
        <x:f>IF(C124="","",IF(S124="Выкуплен",E124,0))</x:f>
      </x:c>
    </x:row>
    <x:row r="125" ht="23" customHeight="1">
      <x:c r="A125" s="54"/>
      <x:c r="B125" s="51"/>
      <x:c r="C125" s="51"/>
      <x:c r="D125" s="11" t="str">
        <x:f>IF(C125="","",_xlfn.IFNA(INDEX(Products[Товар],MATCH(C125,Products[SKU],0)),"Нет SKU"))</x:f>
      </x:c>
      <x:c r="E125" s="51"/>
      <x:c r="F125" s="55"/>
      <x:c r="G125" s="55"/>
      <x:c r="H125" s="16" t="str">
        <x:f>IF(C125="","",IF(S125="Выкуплен",E125*(F125-G125),0))</x:f>
      </x:c>
      <x:c r="I125" s="55"/>
      <x:c r="J125" s="16" t="str">
        <x:f>IF(C125="","",IF(S125="Выкуплен",E125*I125,IF(S125="Возврат",MAX(0,E125-U125)*I125,0)))</x:f>
      </x:c>
      <x:c r="K125" s="55"/>
      <x:c r="L125" s="55"/>
      <x:c r="M125" s="55"/>
      <x:c r="N125" s="55"/>
      <x:c r="O125" s="55"/>
      <x:c r="P125" s="16" t="str">
        <x:f>IF(C125="","",H125-J125-SUM(K125:O125))</x:f>
      </x:c>
      <x:c r="Q125" s="17" t="str">
        <x:f>IF(C125="","",IF(H125=0,"",P125/H125))</x:f>
      </x:c>
      <x:c r="R125" s="17" t="str">
        <x:f>IF(C125="","",IF(J125=0,"",(H125-J125)/J125))</x:f>
      </x:c>
      <x:c r="S125" s="51"/>
      <x:c r="T125" s="51"/>
      <x:c r="U125" s="51"/>
      <x:c r="V125" s="11" t="str">
        <x:f>IF(C125="","",IF(OR(S125="Выкуплен",S125="Возврат"),E125,0))</x:f>
      </x:c>
      <x:c r="W125" s="11" t="str">
        <x:f>IF(C125="","",IF(B125="",0,IF(COUNTIFS($B$5:B125,B125)=1,1,0)))</x:f>
      </x:c>
      <x:c r="X125" s="11" t="str">
        <x:f>IF(C125="","",IF(S125="Выкуплен",W125,0))</x:f>
      </x:c>
      <x:c r="Y125" s="11" t="str">
        <x:f>IF(C125="","",IF(S125="Отменён",W125,0))</x:f>
      </x:c>
      <x:c r="Z125" s="11" t="str">
        <x:f>IF(C125="","",IF(S125="Возврат",W125,0))</x:f>
      </x:c>
      <x:c r="AA125" s="11" t="str">
        <x:f>IF(C125="","",IF(S125="Выкуплен",E125,0))</x:f>
      </x:c>
    </x:row>
    <x:row r="126" ht="23" customHeight="1">
      <x:c r="A126" s="54"/>
      <x:c r="B126" s="51"/>
      <x:c r="C126" s="51"/>
      <x:c r="D126" s="11" t="str">
        <x:f>IF(C126="","",_xlfn.IFNA(INDEX(Products[Товар],MATCH(C126,Products[SKU],0)),"Нет SKU"))</x:f>
      </x:c>
      <x:c r="E126" s="51"/>
      <x:c r="F126" s="55"/>
      <x:c r="G126" s="55"/>
      <x:c r="H126" s="16" t="str">
        <x:f>IF(C126="","",IF(S126="Выкуплен",E126*(F126-G126),0))</x:f>
      </x:c>
      <x:c r="I126" s="55"/>
      <x:c r="J126" s="16" t="str">
        <x:f>IF(C126="","",IF(S126="Выкуплен",E126*I126,IF(S126="Возврат",MAX(0,E126-U126)*I126,0)))</x:f>
      </x:c>
      <x:c r="K126" s="55"/>
      <x:c r="L126" s="55"/>
      <x:c r="M126" s="55"/>
      <x:c r="N126" s="55"/>
      <x:c r="O126" s="55"/>
      <x:c r="P126" s="16" t="str">
        <x:f>IF(C126="","",H126-J126-SUM(K126:O126))</x:f>
      </x:c>
      <x:c r="Q126" s="17" t="str">
        <x:f>IF(C126="","",IF(H126=0,"",P126/H126))</x:f>
      </x:c>
      <x:c r="R126" s="17" t="str">
        <x:f>IF(C126="","",IF(J126=0,"",(H126-J126)/J126))</x:f>
      </x:c>
      <x:c r="S126" s="51"/>
      <x:c r="T126" s="51"/>
      <x:c r="U126" s="51"/>
      <x:c r="V126" s="11" t="str">
        <x:f>IF(C126="","",IF(OR(S126="Выкуплен",S126="Возврат"),E126,0))</x:f>
      </x:c>
      <x:c r="W126" s="11" t="str">
        <x:f>IF(C126="","",IF(B126="",0,IF(COUNTIFS($B$5:B126,B126)=1,1,0)))</x:f>
      </x:c>
      <x:c r="X126" s="11" t="str">
        <x:f>IF(C126="","",IF(S126="Выкуплен",W126,0))</x:f>
      </x:c>
      <x:c r="Y126" s="11" t="str">
        <x:f>IF(C126="","",IF(S126="Отменён",W126,0))</x:f>
      </x:c>
      <x:c r="Z126" s="11" t="str">
        <x:f>IF(C126="","",IF(S126="Возврат",W126,0))</x:f>
      </x:c>
      <x:c r="AA126" s="11" t="str">
        <x:f>IF(C126="","",IF(S126="Выкуплен",E126,0))</x:f>
      </x:c>
    </x:row>
    <x:row r="127" ht="23" customHeight="1">
      <x:c r="A127" s="54"/>
      <x:c r="B127" s="51"/>
      <x:c r="C127" s="51"/>
      <x:c r="D127" s="11" t="str">
        <x:f>IF(C127="","",_xlfn.IFNA(INDEX(Products[Товар],MATCH(C127,Products[SKU],0)),"Нет SKU"))</x:f>
      </x:c>
      <x:c r="E127" s="51"/>
      <x:c r="F127" s="55"/>
      <x:c r="G127" s="55"/>
      <x:c r="H127" s="16" t="str">
        <x:f>IF(C127="","",IF(S127="Выкуплен",E127*(F127-G127),0))</x:f>
      </x:c>
      <x:c r="I127" s="55"/>
      <x:c r="J127" s="16" t="str">
        <x:f>IF(C127="","",IF(S127="Выкуплен",E127*I127,IF(S127="Возврат",MAX(0,E127-U127)*I127,0)))</x:f>
      </x:c>
      <x:c r="K127" s="55"/>
      <x:c r="L127" s="55"/>
      <x:c r="M127" s="55"/>
      <x:c r="N127" s="55"/>
      <x:c r="O127" s="55"/>
      <x:c r="P127" s="16" t="str">
        <x:f>IF(C127="","",H127-J127-SUM(K127:O127))</x:f>
      </x:c>
      <x:c r="Q127" s="17" t="str">
        <x:f>IF(C127="","",IF(H127=0,"",P127/H127))</x:f>
      </x:c>
      <x:c r="R127" s="17" t="str">
        <x:f>IF(C127="","",IF(J127=0,"",(H127-J127)/J127))</x:f>
      </x:c>
      <x:c r="S127" s="51"/>
      <x:c r="T127" s="51"/>
      <x:c r="U127" s="51"/>
      <x:c r="V127" s="11" t="str">
        <x:f>IF(C127="","",IF(OR(S127="Выкуплен",S127="Возврат"),E127,0))</x:f>
      </x:c>
      <x:c r="W127" s="11" t="str">
        <x:f>IF(C127="","",IF(B127="",0,IF(COUNTIFS($B$5:B127,B127)=1,1,0)))</x:f>
      </x:c>
      <x:c r="X127" s="11" t="str">
        <x:f>IF(C127="","",IF(S127="Выкуплен",W127,0))</x:f>
      </x:c>
      <x:c r="Y127" s="11" t="str">
        <x:f>IF(C127="","",IF(S127="Отменён",W127,0))</x:f>
      </x:c>
      <x:c r="Z127" s="11" t="str">
        <x:f>IF(C127="","",IF(S127="Возврат",W127,0))</x:f>
      </x:c>
      <x:c r="AA127" s="11" t="str">
        <x:f>IF(C127="","",IF(S127="Выкуплен",E127,0))</x:f>
      </x:c>
    </x:row>
    <x:row r="128" ht="23" customHeight="1">
      <x:c r="A128" s="54"/>
      <x:c r="B128" s="51"/>
      <x:c r="C128" s="51"/>
      <x:c r="D128" s="11" t="str">
        <x:f>IF(C128="","",_xlfn.IFNA(INDEX(Products[Товар],MATCH(C128,Products[SKU],0)),"Нет SKU"))</x:f>
      </x:c>
      <x:c r="E128" s="51"/>
      <x:c r="F128" s="55"/>
      <x:c r="G128" s="55"/>
      <x:c r="H128" s="16" t="str">
        <x:f>IF(C128="","",IF(S128="Выкуплен",E128*(F128-G128),0))</x:f>
      </x:c>
      <x:c r="I128" s="55"/>
      <x:c r="J128" s="16" t="str">
        <x:f>IF(C128="","",IF(S128="Выкуплен",E128*I128,IF(S128="Возврат",MAX(0,E128-U128)*I128,0)))</x:f>
      </x:c>
      <x:c r="K128" s="55"/>
      <x:c r="L128" s="55"/>
      <x:c r="M128" s="55"/>
      <x:c r="N128" s="55"/>
      <x:c r="O128" s="55"/>
      <x:c r="P128" s="16" t="str">
        <x:f>IF(C128="","",H128-J128-SUM(K128:O128))</x:f>
      </x:c>
      <x:c r="Q128" s="17" t="str">
        <x:f>IF(C128="","",IF(H128=0,"",P128/H128))</x:f>
      </x:c>
      <x:c r="R128" s="17" t="str">
        <x:f>IF(C128="","",IF(J128=0,"",(H128-J128)/J128))</x:f>
      </x:c>
      <x:c r="S128" s="51"/>
      <x:c r="T128" s="51"/>
      <x:c r="U128" s="51"/>
      <x:c r="V128" s="11" t="str">
        <x:f>IF(C128="","",IF(OR(S128="Выкуплен",S128="Возврат"),E128,0))</x:f>
      </x:c>
      <x:c r="W128" s="11" t="str">
        <x:f>IF(C128="","",IF(B128="",0,IF(COUNTIFS($B$5:B128,B128)=1,1,0)))</x:f>
      </x:c>
      <x:c r="X128" s="11" t="str">
        <x:f>IF(C128="","",IF(S128="Выкуплен",W128,0))</x:f>
      </x:c>
      <x:c r="Y128" s="11" t="str">
        <x:f>IF(C128="","",IF(S128="Отменён",W128,0))</x:f>
      </x:c>
      <x:c r="Z128" s="11" t="str">
        <x:f>IF(C128="","",IF(S128="Возврат",W128,0))</x:f>
      </x:c>
      <x:c r="AA128" s="11" t="str">
        <x:f>IF(C128="","",IF(S128="Выкуплен",E128,0))</x:f>
      </x:c>
    </x:row>
    <x:row r="129" ht="23" customHeight="1">
      <x:c r="A129" s="54"/>
      <x:c r="B129" s="51"/>
      <x:c r="C129" s="51"/>
      <x:c r="D129" s="11" t="str">
        <x:f>IF(C129="","",_xlfn.IFNA(INDEX(Products[Товар],MATCH(C129,Products[SKU],0)),"Нет SKU"))</x:f>
      </x:c>
      <x:c r="E129" s="51"/>
      <x:c r="F129" s="55"/>
      <x:c r="G129" s="55"/>
      <x:c r="H129" s="16" t="str">
        <x:f>IF(C129="","",IF(S129="Выкуплен",E129*(F129-G129),0))</x:f>
      </x:c>
      <x:c r="I129" s="55"/>
      <x:c r="J129" s="16" t="str">
        <x:f>IF(C129="","",IF(S129="Выкуплен",E129*I129,IF(S129="Возврат",MAX(0,E129-U129)*I129,0)))</x:f>
      </x:c>
      <x:c r="K129" s="55"/>
      <x:c r="L129" s="55"/>
      <x:c r="M129" s="55"/>
      <x:c r="N129" s="55"/>
      <x:c r="O129" s="55"/>
      <x:c r="P129" s="16" t="str">
        <x:f>IF(C129="","",H129-J129-SUM(K129:O129))</x:f>
      </x:c>
      <x:c r="Q129" s="17" t="str">
        <x:f>IF(C129="","",IF(H129=0,"",P129/H129))</x:f>
      </x:c>
      <x:c r="R129" s="17" t="str">
        <x:f>IF(C129="","",IF(J129=0,"",(H129-J129)/J129))</x:f>
      </x:c>
      <x:c r="S129" s="51"/>
      <x:c r="T129" s="51"/>
      <x:c r="U129" s="51"/>
      <x:c r="V129" s="11" t="str">
        <x:f>IF(C129="","",IF(OR(S129="Выкуплен",S129="Возврат"),E129,0))</x:f>
      </x:c>
      <x:c r="W129" s="11" t="str">
        <x:f>IF(C129="","",IF(B129="",0,IF(COUNTIFS($B$5:B129,B129)=1,1,0)))</x:f>
      </x:c>
      <x:c r="X129" s="11" t="str">
        <x:f>IF(C129="","",IF(S129="Выкуплен",W129,0))</x:f>
      </x:c>
      <x:c r="Y129" s="11" t="str">
        <x:f>IF(C129="","",IF(S129="Отменён",W129,0))</x:f>
      </x:c>
      <x:c r="Z129" s="11" t="str">
        <x:f>IF(C129="","",IF(S129="Возврат",W129,0))</x:f>
      </x:c>
      <x:c r="AA129" s="11" t="str">
        <x:f>IF(C129="","",IF(S129="Выкуплен",E129,0))</x:f>
      </x:c>
    </x:row>
    <x:row r="130" ht="23" customHeight="1">
      <x:c r="A130" s="54"/>
      <x:c r="B130" s="51"/>
      <x:c r="C130" s="51"/>
      <x:c r="D130" s="11" t="str">
        <x:f>IF(C130="","",_xlfn.IFNA(INDEX(Products[Товар],MATCH(C130,Products[SKU],0)),"Нет SKU"))</x:f>
      </x:c>
      <x:c r="E130" s="51"/>
      <x:c r="F130" s="55"/>
      <x:c r="G130" s="55"/>
      <x:c r="H130" s="16" t="str">
        <x:f>IF(C130="","",IF(S130="Выкуплен",E130*(F130-G130),0))</x:f>
      </x:c>
      <x:c r="I130" s="55"/>
      <x:c r="J130" s="16" t="str">
        <x:f>IF(C130="","",IF(S130="Выкуплен",E130*I130,IF(S130="Возврат",MAX(0,E130-U130)*I130,0)))</x:f>
      </x:c>
      <x:c r="K130" s="55"/>
      <x:c r="L130" s="55"/>
      <x:c r="M130" s="55"/>
      <x:c r="N130" s="55"/>
      <x:c r="O130" s="55"/>
      <x:c r="P130" s="16" t="str">
        <x:f>IF(C130="","",H130-J130-SUM(K130:O130))</x:f>
      </x:c>
      <x:c r="Q130" s="17" t="str">
        <x:f>IF(C130="","",IF(H130=0,"",P130/H130))</x:f>
      </x:c>
      <x:c r="R130" s="17" t="str">
        <x:f>IF(C130="","",IF(J130=0,"",(H130-J130)/J130))</x:f>
      </x:c>
      <x:c r="S130" s="51"/>
      <x:c r="T130" s="51"/>
      <x:c r="U130" s="51"/>
      <x:c r="V130" s="11" t="str">
        <x:f>IF(C130="","",IF(OR(S130="Выкуплен",S130="Возврат"),E130,0))</x:f>
      </x:c>
      <x:c r="W130" s="11" t="str">
        <x:f>IF(C130="","",IF(B130="",0,IF(COUNTIFS($B$5:B130,B130)=1,1,0)))</x:f>
      </x:c>
      <x:c r="X130" s="11" t="str">
        <x:f>IF(C130="","",IF(S130="Выкуплен",W130,0))</x:f>
      </x:c>
      <x:c r="Y130" s="11" t="str">
        <x:f>IF(C130="","",IF(S130="Отменён",W130,0))</x:f>
      </x:c>
      <x:c r="Z130" s="11" t="str">
        <x:f>IF(C130="","",IF(S130="Возврат",W130,0))</x:f>
      </x:c>
      <x:c r="AA130" s="11" t="str">
        <x:f>IF(C130="","",IF(S130="Выкуплен",E130,0))</x:f>
      </x:c>
    </x:row>
    <x:row r="131" ht="23" customHeight="1">
      <x:c r="A131" s="54"/>
      <x:c r="B131" s="51"/>
      <x:c r="C131" s="51"/>
      <x:c r="D131" s="11" t="str">
        <x:f>IF(C131="","",_xlfn.IFNA(INDEX(Products[Товар],MATCH(C131,Products[SKU],0)),"Нет SKU"))</x:f>
      </x:c>
      <x:c r="E131" s="51"/>
      <x:c r="F131" s="55"/>
      <x:c r="G131" s="55"/>
      <x:c r="H131" s="16" t="str">
        <x:f>IF(C131="","",IF(S131="Выкуплен",E131*(F131-G131),0))</x:f>
      </x:c>
      <x:c r="I131" s="55"/>
      <x:c r="J131" s="16" t="str">
        <x:f>IF(C131="","",IF(S131="Выкуплен",E131*I131,IF(S131="Возврат",MAX(0,E131-U131)*I131,0)))</x:f>
      </x:c>
      <x:c r="K131" s="55"/>
      <x:c r="L131" s="55"/>
      <x:c r="M131" s="55"/>
      <x:c r="N131" s="55"/>
      <x:c r="O131" s="55"/>
      <x:c r="P131" s="16" t="str">
        <x:f>IF(C131="","",H131-J131-SUM(K131:O131))</x:f>
      </x:c>
      <x:c r="Q131" s="17" t="str">
        <x:f>IF(C131="","",IF(H131=0,"",P131/H131))</x:f>
      </x:c>
      <x:c r="R131" s="17" t="str">
        <x:f>IF(C131="","",IF(J131=0,"",(H131-J131)/J131))</x:f>
      </x:c>
      <x:c r="S131" s="51"/>
      <x:c r="T131" s="51"/>
      <x:c r="U131" s="51"/>
      <x:c r="V131" s="11" t="str">
        <x:f>IF(C131="","",IF(OR(S131="Выкуплен",S131="Возврат"),E131,0))</x:f>
      </x:c>
      <x:c r="W131" s="11" t="str">
        <x:f>IF(C131="","",IF(B131="",0,IF(COUNTIFS($B$5:B131,B131)=1,1,0)))</x:f>
      </x:c>
      <x:c r="X131" s="11" t="str">
        <x:f>IF(C131="","",IF(S131="Выкуплен",W131,0))</x:f>
      </x:c>
      <x:c r="Y131" s="11" t="str">
        <x:f>IF(C131="","",IF(S131="Отменён",W131,0))</x:f>
      </x:c>
      <x:c r="Z131" s="11" t="str">
        <x:f>IF(C131="","",IF(S131="Возврат",W131,0))</x:f>
      </x:c>
      <x:c r="AA131" s="11" t="str">
        <x:f>IF(C131="","",IF(S131="Выкуплен",E131,0))</x:f>
      </x:c>
    </x:row>
    <x:row r="132" ht="23" customHeight="1">
      <x:c r="A132" s="54"/>
      <x:c r="B132" s="51"/>
      <x:c r="C132" s="51"/>
      <x:c r="D132" s="11" t="str">
        <x:f>IF(C132="","",_xlfn.IFNA(INDEX(Products[Товар],MATCH(C132,Products[SKU],0)),"Нет SKU"))</x:f>
      </x:c>
      <x:c r="E132" s="51"/>
      <x:c r="F132" s="55"/>
      <x:c r="G132" s="55"/>
      <x:c r="H132" s="16" t="str">
        <x:f>IF(C132="","",IF(S132="Выкуплен",E132*(F132-G132),0))</x:f>
      </x:c>
      <x:c r="I132" s="55"/>
      <x:c r="J132" s="16" t="str">
        <x:f>IF(C132="","",IF(S132="Выкуплен",E132*I132,IF(S132="Возврат",MAX(0,E132-U132)*I132,0)))</x:f>
      </x:c>
      <x:c r="K132" s="55"/>
      <x:c r="L132" s="55"/>
      <x:c r="M132" s="55"/>
      <x:c r="N132" s="55"/>
      <x:c r="O132" s="55"/>
      <x:c r="P132" s="16" t="str">
        <x:f>IF(C132="","",H132-J132-SUM(K132:O132))</x:f>
      </x:c>
      <x:c r="Q132" s="17" t="str">
        <x:f>IF(C132="","",IF(H132=0,"",P132/H132))</x:f>
      </x:c>
      <x:c r="R132" s="17" t="str">
        <x:f>IF(C132="","",IF(J132=0,"",(H132-J132)/J132))</x:f>
      </x:c>
      <x:c r="S132" s="51"/>
      <x:c r="T132" s="51"/>
      <x:c r="U132" s="51"/>
      <x:c r="V132" s="11" t="str">
        <x:f>IF(C132="","",IF(OR(S132="Выкуплен",S132="Возврат"),E132,0))</x:f>
      </x:c>
      <x:c r="W132" s="11" t="str">
        <x:f>IF(C132="","",IF(B132="",0,IF(COUNTIFS($B$5:B132,B132)=1,1,0)))</x:f>
      </x:c>
      <x:c r="X132" s="11" t="str">
        <x:f>IF(C132="","",IF(S132="Выкуплен",W132,0))</x:f>
      </x:c>
      <x:c r="Y132" s="11" t="str">
        <x:f>IF(C132="","",IF(S132="Отменён",W132,0))</x:f>
      </x:c>
      <x:c r="Z132" s="11" t="str">
        <x:f>IF(C132="","",IF(S132="Возврат",W132,0))</x:f>
      </x:c>
      <x:c r="AA132" s="11" t="str">
        <x:f>IF(C132="","",IF(S132="Выкуплен",E132,0))</x:f>
      </x:c>
    </x:row>
    <x:row r="133" ht="23" customHeight="1">
      <x:c r="A133" s="54"/>
      <x:c r="B133" s="51"/>
      <x:c r="C133" s="51"/>
      <x:c r="D133" s="11" t="str">
        <x:f>IF(C133="","",_xlfn.IFNA(INDEX(Products[Товар],MATCH(C133,Products[SKU],0)),"Нет SKU"))</x:f>
      </x:c>
      <x:c r="E133" s="51"/>
      <x:c r="F133" s="55"/>
      <x:c r="G133" s="55"/>
      <x:c r="H133" s="16" t="str">
        <x:f>IF(C133="","",IF(S133="Выкуплен",E133*(F133-G133),0))</x:f>
      </x:c>
      <x:c r="I133" s="55"/>
      <x:c r="J133" s="16" t="str">
        <x:f>IF(C133="","",IF(S133="Выкуплен",E133*I133,IF(S133="Возврат",MAX(0,E133-U133)*I133,0)))</x:f>
      </x:c>
      <x:c r="K133" s="55"/>
      <x:c r="L133" s="55"/>
      <x:c r="M133" s="55"/>
      <x:c r="N133" s="55"/>
      <x:c r="O133" s="55"/>
      <x:c r="P133" s="16" t="str">
        <x:f>IF(C133="","",H133-J133-SUM(K133:O133))</x:f>
      </x:c>
      <x:c r="Q133" s="17" t="str">
        <x:f>IF(C133="","",IF(H133=0,"",P133/H133))</x:f>
      </x:c>
      <x:c r="R133" s="17" t="str">
        <x:f>IF(C133="","",IF(J133=0,"",(H133-J133)/J133))</x:f>
      </x:c>
      <x:c r="S133" s="51"/>
      <x:c r="T133" s="51"/>
      <x:c r="U133" s="51"/>
      <x:c r="V133" s="11" t="str">
        <x:f>IF(C133="","",IF(OR(S133="Выкуплен",S133="Возврат"),E133,0))</x:f>
      </x:c>
      <x:c r="W133" s="11" t="str">
        <x:f>IF(C133="","",IF(B133="",0,IF(COUNTIFS($B$5:B133,B133)=1,1,0)))</x:f>
      </x:c>
      <x:c r="X133" s="11" t="str">
        <x:f>IF(C133="","",IF(S133="Выкуплен",W133,0))</x:f>
      </x:c>
      <x:c r="Y133" s="11" t="str">
        <x:f>IF(C133="","",IF(S133="Отменён",W133,0))</x:f>
      </x:c>
      <x:c r="Z133" s="11" t="str">
        <x:f>IF(C133="","",IF(S133="Возврат",W133,0))</x:f>
      </x:c>
      <x:c r="AA133" s="11" t="str">
        <x:f>IF(C133="","",IF(S133="Выкуплен",E133,0))</x:f>
      </x:c>
    </x:row>
    <x:row r="134" ht="23" customHeight="1">
      <x:c r="A134" s="54"/>
      <x:c r="B134" s="51"/>
      <x:c r="C134" s="51"/>
      <x:c r="D134" s="11" t="str">
        <x:f>IF(C134="","",_xlfn.IFNA(INDEX(Products[Товар],MATCH(C134,Products[SKU],0)),"Нет SKU"))</x:f>
      </x:c>
      <x:c r="E134" s="51"/>
      <x:c r="F134" s="55"/>
      <x:c r="G134" s="55"/>
      <x:c r="H134" s="16" t="str">
        <x:f>IF(C134="","",IF(S134="Выкуплен",E134*(F134-G134),0))</x:f>
      </x:c>
      <x:c r="I134" s="55"/>
      <x:c r="J134" s="16" t="str">
        <x:f>IF(C134="","",IF(S134="Выкуплен",E134*I134,IF(S134="Возврат",MAX(0,E134-U134)*I134,0)))</x:f>
      </x:c>
      <x:c r="K134" s="55"/>
      <x:c r="L134" s="55"/>
      <x:c r="M134" s="55"/>
      <x:c r="N134" s="55"/>
      <x:c r="O134" s="55"/>
      <x:c r="P134" s="16" t="str">
        <x:f>IF(C134="","",H134-J134-SUM(K134:O134))</x:f>
      </x:c>
      <x:c r="Q134" s="17" t="str">
        <x:f>IF(C134="","",IF(H134=0,"",P134/H134))</x:f>
      </x:c>
      <x:c r="R134" s="17" t="str">
        <x:f>IF(C134="","",IF(J134=0,"",(H134-J134)/J134))</x:f>
      </x:c>
      <x:c r="S134" s="51"/>
      <x:c r="T134" s="51"/>
      <x:c r="U134" s="51"/>
      <x:c r="V134" s="11" t="str">
        <x:f>IF(C134="","",IF(OR(S134="Выкуплен",S134="Возврат"),E134,0))</x:f>
      </x:c>
      <x:c r="W134" s="11" t="str">
        <x:f>IF(C134="","",IF(B134="",0,IF(COUNTIFS($B$5:B134,B134)=1,1,0)))</x:f>
      </x:c>
      <x:c r="X134" s="11" t="str">
        <x:f>IF(C134="","",IF(S134="Выкуплен",W134,0))</x:f>
      </x:c>
      <x:c r="Y134" s="11" t="str">
        <x:f>IF(C134="","",IF(S134="Отменён",W134,0))</x:f>
      </x:c>
      <x:c r="Z134" s="11" t="str">
        <x:f>IF(C134="","",IF(S134="Возврат",W134,0))</x:f>
      </x:c>
      <x:c r="AA134" s="11" t="str">
        <x:f>IF(C134="","",IF(S134="Выкуплен",E134,0))</x:f>
      </x:c>
    </x:row>
    <x:row r="135" ht="23" customHeight="1">
      <x:c r="A135" s="54"/>
      <x:c r="B135" s="51"/>
      <x:c r="C135" s="51"/>
      <x:c r="D135" s="11" t="str">
        <x:f>IF(C135="","",_xlfn.IFNA(INDEX(Products[Товар],MATCH(C135,Products[SKU],0)),"Нет SKU"))</x:f>
      </x:c>
      <x:c r="E135" s="51"/>
      <x:c r="F135" s="55"/>
      <x:c r="G135" s="55"/>
      <x:c r="H135" s="16" t="str">
        <x:f>IF(C135="","",IF(S135="Выкуплен",E135*(F135-G135),0))</x:f>
      </x:c>
      <x:c r="I135" s="55"/>
      <x:c r="J135" s="16" t="str">
        <x:f>IF(C135="","",IF(S135="Выкуплен",E135*I135,IF(S135="Возврат",MAX(0,E135-U135)*I135,0)))</x:f>
      </x:c>
      <x:c r="K135" s="55"/>
      <x:c r="L135" s="55"/>
      <x:c r="M135" s="55"/>
      <x:c r="N135" s="55"/>
      <x:c r="O135" s="55"/>
      <x:c r="P135" s="16" t="str">
        <x:f>IF(C135="","",H135-J135-SUM(K135:O135))</x:f>
      </x:c>
      <x:c r="Q135" s="17" t="str">
        <x:f>IF(C135="","",IF(H135=0,"",P135/H135))</x:f>
      </x:c>
      <x:c r="R135" s="17" t="str">
        <x:f>IF(C135="","",IF(J135=0,"",(H135-J135)/J135))</x:f>
      </x:c>
      <x:c r="S135" s="51"/>
      <x:c r="T135" s="51"/>
      <x:c r="U135" s="51"/>
      <x:c r="V135" s="11" t="str">
        <x:f>IF(C135="","",IF(OR(S135="Выкуплен",S135="Возврат"),E135,0))</x:f>
      </x:c>
      <x:c r="W135" s="11" t="str">
        <x:f>IF(C135="","",IF(B135="",0,IF(COUNTIFS($B$5:B135,B135)=1,1,0)))</x:f>
      </x:c>
      <x:c r="X135" s="11" t="str">
        <x:f>IF(C135="","",IF(S135="Выкуплен",W135,0))</x:f>
      </x:c>
      <x:c r="Y135" s="11" t="str">
        <x:f>IF(C135="","",IF(S135="Отменён",W135,0))</x:f>
      </x:c>
      <x:c r="Z135" s="11" t="str">
        <x:f>IF(C135="","",IF(S135="Возврат",W135,0))</x:f>
      </x:c>
      <x:c r="AA135" s="11" t="str">
        <x:f>IF(C135="","",IF(S135="Выкуплен",E135,0))</x:f>
      </x:c>
    </x:row>
    <x:row r="136" ht="23" customHeight="1">
      <x:c r="A136" s="54"/>
      <x:c r="B136" s="51"/>
      <x:c r="C136" s="51"/>
      <x:c r="D136" s="11" t="str">
        <x:f>IF(C136="","",_xlfn.IFNA(INDEX(Products[Товар],MATCH(C136,Products[SKU],0)),"Нет SKU"))</x:f>
      </x:c>
      <x:c r="E136" s="51"/>
      <x:c r="F136" s="55"/>
      <x:c r="G136" s="55"/>
      <x:c r="H136" s="16" t="str">
        <x:f>IF(C136="","",IF(S136="Выкуплен",E136*(F136-G136),0))</x:f>
      </x:c>
      <x:c r="I136" s="55"/>
      <x:c r="J136" s="16" t="str">
        <x:f>IF(C136="","",IF(S136="Выкуплен",E136*I136,IF(S136="Возврат",MAX(0,E136-U136)*I136,0)))</x:f>
      </x:c>
      <x:c r="K136" s="55"/>
      <x:c r="L136" s="55"/>
      <x:c r="M136" s="55"/>
      <x:c r="N136" s="55"/>
      <x:c r="O136" s="55"/>
      <x:c r="P136" s="16" t="str">
        <x:f>IF(C136="","",H136-J136-SUM(K136:O136))</x:f>
      </x:c>
      <x:c r="Q136" s="17" t="str">
        <x:f>IF(C136="","",IF(H136=0,"",P136/H136))</x:f>
      </x:c>
      <x:c r="R136" s="17" t="str">
        <x:f>IF(C136="","",IF(J136=0,"",(H136-J136)/J136))</x:f>
      </x:c>
      <x:c r="S136" s="51"/>
      <x:c r="T136" s="51"/>
      <x:c r="U136" s="51"/>
      <x:c r="V136" s="11" t="str">
        <x:f>IF(C136="","",IF(OR(S136="Выкуплен",S136="Возврат"),E136,0))</x:f>
      </x:c>
      <x:c r="W136" s="11" t="str">
        <x:f>IF(C136="","",IF(B136="",0,IF(COUNTIFS($B$5:B136,B136)=1,1,0)))</x:f>
      </x:c>
      <x:c r="X136" s="11" t="str">
        <x:f>IF(C136="","",IF(S136="Выкуплен",W136,0))</x:f>
      </x:c>
      <x:c r="Y136" s="11" t="str">
        <x:f>IF(C136="","",IF(S136="Отменён",W136,0))</x:f>
      </x:c>
      <x:c r="Z136" s="11" t="str">
        <x:f>IF(C136="","",IF(S136="Возврат",W136,0))</x:f>
      </x:c>
      <x:c r="AA136" s="11" t="str">
        <x:f>IF(C136="","",IF(S136="Выкуплен",E136,0))</x:f>
      </x:c>
    </x:row>
    <x:row r="137" ht="23" customHeight="1">
      <x:c r="A137" s="54"/>
      <x:c r="B137" s="51"/>
      <x:c r="C137" s="51"/>
      <x:c r="D137" s="11" t="str">
        <x:f>IF(C137="","",_xlfn.IFNA(INDEX(Products[Товар],MATCH(C137,Products[SKU],0)),"Нет SKU"))</x:f>
      </x:c>
      <x:c r="E137" s="51"/>
      <x:c r="F137" s="55"/>
      <x:c r="G137" s="55"/>
      <x:c r="H137" s="16" t="str">
        <x:f>IF(C137="","",IF(S137="Выкуплен",E137*(F137-G137),0))</x:f>
      </x:c>
      <x:c r="I137" s="55"/>
      <x:c r="J137" s="16" t="str">
        <x:f>IF(C137="","",IF(S137="Выкуплен",E137*I137,IF(S137="Возврат",MAX(0,E137-U137)*I137,0)))</x:f>
      </x:c>
      <x:c r="K137" s="55"/>
      <x:c r="L137" s="55"/>
      <x:c r="M137" s="55"/>
      <x:c r="N137" s="55"/>
      <x:c r="O137" s="55"/>
      <x:c r="P137" s="16" t="str">
        <x:f>IF(C137="","",H137-J137-SUM(K137:O137))</x:f>
      </x:c>
      <x:c r="Q137" s="17" t="str">
        <x:f>IF(C137="","",IF(H137=0,"",P137/H137))</x:f>
      </x:c>
      <x:c r="R137" s="17" t="str">
        <x:f>IF(C137="","",IF(J137=0,"",(H137-J137)/J137))</x:f>
      </x:c>
      <x:c r="S137" s="51"/>
      <x:c r="T137" s="51"/>
      <x:c r="U137" s="51"/>
      <x:c r="V137" s="11" t="str">
        <x:f>IF(C137="","",IF(OR(S137="Выкуплен",S137="Возврат"),E137,0))</x:f>
      </x:c>
      <x:c r="W137" s="11" t="str">
        <x:f>IF(C137="","",IF(B137="",0,IF(COUNTIFS($B$5:B137,B137)=1,1,0)))</x:f>
      </x:c>
      <x:c r="X137" s="11" t="str">
        <x:f>IF(C137="","",IF(S137="Выкуплен",W137,0))</x:f>
      </x:c>
      <x:c r="Y137" s="11" t="str">
        <x:f>IF(C137="","",IF(S137="Отменён",W137,0))</x:f>
      </x:c>
      <x:c r="Z137" s="11" t="str">
        <x:f>IF(C137="","",IF(S137="Возврат",W137,0))</x:f>
      </x:c>
      <x:c r="AA137" s="11" t="str">
        <x:f>IF(C137="","",IF(S137="Выкуплен",E137,0))</x:f>
      </x:c>
    </x:row>
    <x:row r="138" ht="23" customHeight="1">
      <x:c r="A138" s="54"/>
      <x:c r="B138" s="51"/>
      <x:c r="C138" s="51"/>
      <x:c r="D138" s="11" t="str">
        <x:f>IF(C138="","",_xlfn.IFNA(INDEX(Products[Товар],MATCH(C138,Products[SKU],0)),"Нет SKU"))</x:f>
      </x:c>
      <x:c r="E138" s="51"/>
      <x:c r="F138" s="55"/>
      <x:c r="G138" s="55"/>
      <x:c r="H138" s="16" t="str">
        <x:f>IF(C138="","",IF(S138="Выкуплен",E138*(F138-G138),0))</x:f>
      </x:c>
      <x:c r="I138" s="55"/>
      <x:c r="J138" s="16" t="str">
        <x:f>IF(C138="","",IF(S138="Выкуплен",E138*I138,IF(S138="Возврат",MAX(0,E138-U138)*I138,0)))</x:f>
      </x:c>
      <x:c r="K138" s="55"/>
      <x:c r="L138" s="55"/>
      <x:c r="M138" s="55"/>
      <x:c r="N138" s="55"/>
      <x:c r="O138" s="55"/>
      <x:c r="P138" s="16" t="str">
        <x:f>IF(C138="","",H138-J138-SUM(K138:O138))</x:f>
      </x:c>
      <x:c r="Q138" s="17" t="str">
        <x:f>IF(C138="","",IF(H138=0,"",P138/H138))</x:f>
      </x:c>
      <x:c r="R138" s="17" t="str">
        <x:f>IF(C138="","",IF(J138=0,"",(H138-J138)/J138))</x:f>
      </x:c>
      <x:c r="S138" s="51"/>
      <x:c r="T138" s="51"/>
      <x:c r="U138" s="51"/>
      <x:c r="V138" s="11" t="str">
        <x:f>IF(C138="","",IF(OR(S138="Выкуплен",S138="Возврат"),E138,0))</x:f>
      </x:c>
      <x:c r="W138" s="11" t="str">
        <x:f>IF(C138="","",IF(B138="",0,IF(COUNTIFS($B$5:B138,B138)=1,1,0)))</x:f>
      </x:c>
      <x:c r="X138" s="11" t="str">
        <x:f>IF(C138="","",IF(S138="Выкуплен",W138,0))</x:f>
      </x:c>
      <x:c r="Y138" s="11" t="str">
        <x:f>IF(C138="","",IF(S138="Отменён",W138,0))</x:f>
      </x:c>
      <x:c r="Z138" s="11" t="str">
        <x:f>IF(C138="","",IF(S138="Возврат",W138,0))</x:f>
      </x:c>
      <x:c r="AA138" s="11" t="str">
        <x:f>IF(C138="","",IF(S138="Выкуплен",E138,0))</x:f>
      </x:c>
    </x:row>
    <x:row r="139" ht="23" customHeight="1">
      <x:c r="A139" s="54"/>
      <x:c r="B139" s="51"/>
      <x:c r="C139" s="51"/>
      <x:c r="D139" s="11" t="str">
        <x:f>IF(C139="","",_xlfn.IFNA(INDEX(Products[Товар],MATCH(C139,Products[SKU],0)),"Нет SKU"))</x:f>
      </x:c>
      <x:c r="E139" s="51"/>
      <x:c r="F139" s="55"/>
      <x:c r="G139" s="55"/>
      <x:c r="H139" s="16" t="str">
        <x:f>IF(C139="","",IF(S139="Выкуплен",E139*(F139-G139),0))</x:f>
      </x:c>
      <x:c r="I139" s="55"/>
      <x:c r="J139" s="16" t="str">
        <x:f>IF(C139="","",IF(S139="Выкуплен",E139*I139,IF(S139="Возврат",MAX(0,E139-U139)*I139,0)))</x:f>
      </x:c>
      <x:c r="K139" s="55"/>
      <x:c r="L139" s="55"/>
      <x:c r="M139" s="55"/>
      <x:c r="N139" s="55"/>
      <x:c r="O139" s="55"/>
      <x:c r="P139" s="16" t="str">
        <x:f>IF(C139="","",H139-J139-SUM(K139:O139))</x:f>
      </x:c>
      <x:c r="Q139" s="17" t="str">
        <x:f>IF(C139="","",IF(H139=0,"",P139/H139))</x:f>
      </x:c>
      <x:c r="R139" s="17" t="str">
        <x:f>IF(C139="","",IF(J139=0,"",(H139-J139)/J139))</x:f>
      </x:c>
      <x:c r="S139" s="51"/>
      <x:c r="T139" s="51"/>
      <x:c r="U139" s="51"/>
      <x:c r="V139" s="11" t="str">
        <x:f>IF(C139="","",IF(OR(S139="Выкуплен",S139="Возврат"),E139,0))</x:f>
      </x:c>
      <x:c r="W139" s="11" t="str">
        <x:f>IF(C139="","",IF(B139="",0,IF(COUNTIFS($B$5:B139,B139)=1,1,0)))</x:f>
      </x:c>
      <x:c r="X139" s="11" t="str">
        <x:f>IF(C139="","",IF(S139="Выкуплен",W139,0))</x:f>
      </x:c>
      <x:c r="Y139" s="11" t="str">
        <x:f>IF(C139="","",IF(S139="Отменён",W139,0))</x:f>
      </x:c>
      <x:c r="Z139" s="11" t="str">
        <x:f>IF(C139="","",IF(S139="Возврат",W139,0))</x:f>
      </x:c>
      <x:c r="AA139" s="11" t="str">
        <x:f>IF(C139="","",IF(S139="Выкуплен",E139,0))</x:f>
      </x:c>
    </x:row>
    <x:row r="140" ht="23" customHeight="1">
      <x:c r="A140" s="54"/>
      <x:c r="B140" s="51"/>
      <x:c r="C140" s="51"/>
      <x:c r="D140" s="11" t="str">
        <x:f>IF(C140="","",_xlfn.IFNA(INDEX(Products[Товар],MATCH(C140,Products[SKU],0)),"Нет SKU"))</x:f>
      </x:c>
      <x:c r="E140" s="51"/>
      <x:c r="F140" s="55"/>
      <x:c r="G140" s="55"/>
      <x:c r="H140" s="16" t="str">
        <x:f>IF(C140="","",IF(S140="Выкуплен",E140*(F140-G140),0))</x:f>
      </x:c>
      <x:c r="I140" s="55"/>
      <x:c r="J140" s="16" t="str">
        <x:f>IF(C140="","",IF(S140="Выкуплен",E140*I140,IF(S140="Возврат",MAX(0,E140-U140)*I140,0)))</x:f>
      </x:c>
      <x:c r="K140" s="55"/>
      <x:c r="L140" s="55"/>
      <x:c r="M140" s="55"/>
      <x:c r="N140" s="55"/>
      <x:c r="O140" s="55"/>
      <x:c r="P140" s="16" t="str">
        <x:f>IF(C140="","",H140-J140-SUM(K140:O140))</x:f>
      </x:c>
      <x:c r="Q140" s="17" t="str">
        <x:f>IF(C140="","",IF(H140=0,"",P140/H140))</x:f>
      </x:c>
      <x:c r="R140" s="17" t="str">
        <x:f>IF(C140="","",IF(J140=0,"",(H140-J140)/J140))</x:f>
      </x:c>
      <x:c r="S140" s="51"/>
      <x:c r="T140" s="51"/>
      <x:c r="U140" s="51"/>
      <x:c r="V140" s="11" t="str">
        <x:f>IF(C140="","",IF(OR(S140="Выкуплен",S140="Возврат"),E140,0))</x:f>
      </x:c>
      <x:c r="W140" s="11" t="str">
        <x:f>IF(C140="","",IF(B140="",0,IF(COUNTIFS($B$5:B140,B140)=1,1,0)))</x:f>
      </x:c>
      <x:c r="X140" s="11" t="str">
        <x:f>IF(C140="","",IF(S140="Выкуплен",W140,0))</x:f>
      </x:c>
      <x:c r="Y140" s="11" t="str">
        <x:f>IF(C140="","",IF(S140="Отменён",W140,0))</x:f>
      </x:c>
      <x:c r="Z140" s="11" t="str">
        <x:f>IF(C140="","",IF(S140="Возврат",W140,0))</x:f>
      </x:c>
      <x:c r="AA140" s="11" t="str">
        <x:f>IF(C140="","",IF(S140="Выкуплен",E140,0))</x:f>
      </x:c>
    </x:row>
    <x:row r="141" ht="23" customHeight="1">
      <x:c r="A141" s="54"/>
      <x:c r="B141" s="51"/>
      <x:c r="C141" s="51"/>
      <x:c r="D141" s="11" t="str">
        <x:f>IF(C141="","",_xlfn.IFNA(INDEX(Products[Товар],MATCH(C141,Products[SKU],0)),"Нет SKU"))</x:f>
      </x:c>
      <x:c r="E141" s="51"/>
      <x:c r="F141" s="55"/>
      <x:c r="G141" s="55"/>
      <x:c r="H141" s="16" t="str">
        <x:f>IF(C141="","",IF(S141="Выкуплен",E141*(F141-G141),0))</x:f>
      </x:c>
      <x:c r="I141" s="55"/>
      <x:c r="J141" s="16" t="str">
        <x:f>IF(C141="","",IF(S141="Выкуплен",E141*I141,IF(S141="Возврат",MAX(0,E141-U141)*I141,0)))</x:f>
      </x:c>
      <x:c r="K141" s="55"/>
      <x:c r="L141" s="55"/>
      <x:c r="M141" s="55"/>
      <x:c r="N141" s="55"/>
      <x:c r="O141" s="55"/>
      <x:c r="P141" s="16" t="str">
        <x:f>IF(C141="","",H141-J141-SUM(K141:O141))</x:f>
      </x:c>
      <x:c r="Q141" s="17" t="str">
        <x:f>IF(C141="","",IF(H141=0,"",P141/H141))</x:f>
      </x:c>
      <x:c r="R141" s="17" t="str">
        <x:f>IF(C141="","",IF(J141=0,"",(H141-J141)/J141))</x:f>
      </x:c>
      <x:c r="S141" s="51"/>
      <x:c r="T141" s="51"/>
      <x:c r="U141" s="51"/>
      <x:c r="V141" s="11" t="str">
        <x:f>IF(C141="","",IF(OR(S141="Выкуплен",S141="Возврат"),E141,0))</x:f>
      </x:c>
      <x:c r="W141" s="11" t="str">
        <x:f>IF(C141="","",IF(B141="",0,IF(COUNTIFS($B$5:B141,B141)=1,1,0)))</x:f>
      </x:c>
      <x:c r="X141" s="11" t="str">
        <x:f>IF(C141="","",IF(S141="Выкуплен",W141,0))</x:f>
      </x:c>
      <x:c r="Y141" s="11" t="str">
        <x:f>IF(C141="","",IF(S141="Отменён",W141,0))</x:f>
      </x:c>
      <x:c r="Z141" s="11" t="str">
        <x:f>IF(C141="","",IF(S141="Возврат",W141,0))</x:f>
      </x:c>
      <x:c r="AA141" s="11" t="str">
        <x:f>IF(C141="","",IF(S141="Выкуплен",E141,0))</x:f>
      </x:c>
    </x:row>
    <x:row r="142" ht="23" customHeight="1">
      <x:c r="A142" s="54"/>
      <x:c r="B142" s="51"/>
      <x:c r="C142" s="51"/>
      <x:c r="D142" s="11" t="str">
        <x:f>IF(C142="","",_xlfn.IFNA(INDEX(Products[Товар],MATCH(C142,Products[SKU],0)),"Нет SKU"))</x:f>
      </x:c>
      <x:c r="E142" s="51"/>
      <x:c r="F142" s="55"/>
      <x:c r="G142" s="55"/>
      <x:c r="H142" s="16" t="str">
        <x:f>IF(C142="","",IF(S142="Выкуплен",E142*(F142-G142),0))</x:f>
      </x:c>
      <x:c r="I142" s="55"/>
      <x:c r="J142" s="16" t="str">
        <x:f>IF(C142="","",IF(S142="Выкуплен",E142*I142,IF(S142="Возврат",MAX(0,E142-U142)*I142,0)))</x:f>
      </x:c>
      <x:c r="K142" s="55"/>
      <x:c r="L142" s="55"/>
      <x:c r="M142" s="55"/>
      <x:c r="N142" s="55"/>
      <x:c r="O142" s="55"/>
      <x:c r="P142" s="16" t="str">
        <x:f>IF(C142="","",H142-J142-SUM(K142:O142))</x:f>
      </x:c>
      <x:c r="Q142" s="17" t="str">
        <x:f>IF(C142="","",IF(H142=0,"",P142/H142))</x:f>
      </x:c>
      <x:c r="R142" s="17" t="str">
        <x:f>IF(C142="","",IF(J142=0,"",(H142-J142)/J142))</x:f>
      </x:c>
      <x:c r="S142" s="51"/>
      <x:c r="T142" s="51"/>
      <x:c r="U142" s="51"/>
      <x:c r="V142" s="11" t="str">
        <x:f>IF(C142="","",IF(OR(S142="Выкуплен",S142="Возврат"),E142,0))</x:f>
      </x:c>
      <x:c r="W142" s="11" t="str">
        <x:f>IF(C142="","",IF(B142="",0,IF(COUNTIFS($B$5:B142,B142)=1,1,0)))</x:f>
      </x:c>
      <x:c r="X142" s="11" t="str">
        <x:f>IF(C142="","",IF(S142="Выкуплен",W142,0))</x:f>
      </x:c>
      <x:c r="Y142" s="11" t="str">
        <x:f>IF(C142="","",IF(S142="Отменён",W142,0))</x:f>
      </x:c>
      <x:c r="Z142" s="11" t="str">
        <x:f>IF(C142="","",IF(S142="Возврат",W142,0))</x:f>
      </x:c>
      <x:c r="AA142" s="11" t="str">
        <x:f>IF(C142="","",IF(S142="Выкуплен",E142,0))</x:f>
      </x:c>
    </x:row>
    <x:row r="143" ht="23" customHeight="1">
      <x:c r="A143" s="54"/>
      <x:c r="B143" s="51"/>
      <x:c r="C143" s="51"/>
      <x:c r="D143" s="11" t="str">
        <x:f>IF(C143="","",_xlfn.IFNA(INDEX(Products[Товар],MATCH(C143,Products[SKU],0)),"Нет SKU"))</x:f>
      </x:c>
      <x:c r="E143" s="51"/>
      <x:c r="F143" s="55"/>
      <x:c r="G143" s="55"/>
      <x:c r="H143" s="16" t="str">
        <x:f>IF(C143="","",IF(S143="Выкуплен",E143*(F143-G143),0))</x:f>
      </x:c>
      <x:c r="I143" s="55"/>
      <x:c r="J143" s="16" t="str">
        <x:f>IF(C143="","",IF(S143="Выкуплен",E143*I143,IF(S143="Возврат",MAX(0,E143-U143)*I143,0)))</x:f>
      </x:c>
      <x:c r="K143" s="55"/>
      <x:c r="L143" s="55"/>
      <x:c r="M143" s="55"/>
      <x:c r="N143" s="55"/>
      <x:c r="O143" s="55"/>
      <x:c r="P143" s="16" t="str">
        <x:f>IF(C143="","",H143-J143-SUM(K143:O143))</x:f>
      </x:c>
      <x:c r="Q143" s="17" t="str">
        <x:f>IF(C143="","",IF(H143=0,"",P143/H143))</x:f>
      </x:c>
      <x:c r="R143" s="17" t="str">
        <x:f>IF(C143="","",IF(J143=0,"",(H143-J143)/J143))</x:f>
      </x:c>
      <x:c r="S143" s="51"/>
      <x:c r="T143" s="51"/>
      <x:c r="U143" s="51"/>
      <x:c r="V143" s="11" t="str">
        <x:f>IF(C143="","",IF(OR(S143="Выкуплен",S143="Возврат"),E143,0))</x:f>
      </x:c>
      <x:c r="W143" s="11" t="str">
        <x:f>IF(C143="","",IF(B143="",0,IF(COUNTIFS($B$5:B143,B143)=1,1,0)))</x:f>
      </x:c>
      <x:c r="X143" s="11" t="str">
        <x:f>IF(C143="","",IF(S143="Выкуплен",W143,0))</x:f>
      </x:c>
      <x:c r="Y143" s="11" t="str">
        <x:f>IF(C143="","",IF(S143="Отменён",W143,0))</x:f>
      </x:c>
      <x:c r="Z143" s="11" t="str">
        <x:f>IF(C143="","",IF(S143="Возврат",W143,0))</x:f>
      </x:c>
      <x:c r="AA143" s="11" t="str">
        <x:f>IF(C143="","",IF(S143="Выкуплен",E143,0))</x:f>
      </x:c>
    </x:row>
    <x:row r="144" ht="23" customHeight="1">
      <x:c r="A144" s="54"/>
      <x:c r="B144" s="51"/>
      <x:c r="C144" s="51"/>
      <x:c r="D144" s="11" t="str">
        <x:f>IF(C144="","",_xlfn.IFNA(INDEX(Products[Товар],MATCH(C144,Products[SKU],0)),"Нет SKU"))</x:f>
      </x:c>
      <x:c r="E144" s="51"/>
      <x:c r="F144" s="55"/>
      <x:c r="G144" s="55"/>
      <x:c r="H144" s="16" t="str">
        <x:f>IF(C144="","",IF(S144="Выкуплен",E144*(F144-G144),0))</x:f>
      </x:c>
      <x:c r="I144" s="55"/>
      <x:c r="J144" s="16" t="str">
        <x:f>IF(C144="","",IF(S144="Выкуплен",E144*I144,IF(S144="Возврат",MAX(0,E144-U144)*I144,0)))</x:f>
      </x:c>
      <x:c r="K144" s="55"/>
      <x:c r="L144" s="55"/>
      <x:c r="M144" s="55"/>
      <x:c r="N144" s="55"/>
      <x:c r="O144" s="55"/>
      <x:c r="P144" s="16" t="str">
        <x:f>IF(C144="","",H144-J144-SUM(K144:O144))</x:f>
      </x:c>
      <x:c r="Q144" s="17" t="str">
        <x:f>IF(C144="","",IF(H144=0,"",P144/H144))</x:f>
      </x:c>
      <x:c r="R144" s="17" t="str">
        <x:f>IF(C144="","",IF(J144=0,"",(H144-J144)/J144))</x:f>
      </x:c>
      <x:c r="S144" s="51"/>
      <x:c r="T144" s="51"/>
      <x:c r="U144" s="51"/>
      <x:c r="V144" s="11" t="str">
        <x:f>IF(C144="","",IF(OR(S144="Выкуплен",S144="Возврат"),E144,0))</x:f>
      </x:c>
      <x:c r="W144" s="11" t="str">
        <x:f>IF(C144="","",IF(B144="",0,IF(COUNTIFS($B$5:B144,B144)=1,1,0)))</x:f>
      </x:c>
      <x:c r="X144" s="11" t="str">
        <x:f>IF(C144="","",IF(S144="Выкуплен",W144,0))</x:f>
      </x:c>
      <x:c r="Y144" s="11" t="str">
        <x:f>IF(C144="","",IF(S144="Отменён",W144,0))</x:f>
      </x:c>
      <x:c r="Z144" s="11" t="str">
        <x:f>IF(C144="","",IF(S144="Возврат",W144,0))</x:f>
      </x:c>
      <x:c r="AA144" s="11" t="str">
        <x:f>IF(C144="","",IF(S144="Выкуплен",E144,0))</x:f>
      </x:c>
    </x:row>
    <x:row r="145" ht="23" customHeight="1">
      <x:c r="A145" s="54"/>
      <x:c r="B145" s="51"/>
      <x:c r="C145" s="51"/>
      <x:c r="D145" s="11" t="str">
        <x:f>IF(C145="","",_xlfn.IFNA(INDEX(Products[Товар],MATCH(C145,Products[SKU],0)),"Нет SKU"))</x:f>
      </x:c>
      <x:c r="E145" s="51"/>
      <x:c r="F145" s="55"/>
      <x:c r="G145" s="55"/>
      <x:c r="H145" s="16" t="str">
        <x:f>IF(C145="","",IF(S145="Выкуплен",E145*(F145-G145),0))</x:f>
      </x:c>
      <x:c r="I145" s="55"/>
      <x:c r="J145" s="16" t="str">
        <x:f>IF(C145="","",IF(S145="Выкуплен",E145*I145,IF(S145="Возврат",MAX(0,E145-U145)*I145,0)))</x:f>
      </x:c>
      <x:c r="K145" s="55"/>
      <x:c r="L145" s="55"/>
      <x:c r="M145" s="55"/>
      <x:c r="N145" s="55"/>
      <x:c r="O145" s="55"/>
      <x:c r="P145" s="16" t="str">
        <x:f>IF(C145="","",H145-J145-SUM(K145:O145))</x:f>
      </x:c>
      <x:c r="Q145" s="17" t="str">
        <x:f>IF(C145="","",IF(H145=0,"",P145/H145))</x:f>
      </x:c>
      <x:c r="R145" s="17" t="str">
        <x:f>IF(C145="","",IF(J145=0,"",(H145-J145)/J145))</x:f>
      </x:c>
      <x:c r="S145" s="51"/>
      <x:c r="T145" s="51"/>
      <x:c r="U145" s="51"/>
      <x:c r="V145" s="11" t="str">
        <x:f>IF(C145="","",IF(OR(S145="Выкуплен",S145="Возврат"),E145,0))</x:f>
      </x:c>
      <x:c r="W145" s="11" t="str">
        <x:f>IF(C145="","",IF(B145="",0,IF(COUNTIFS($B$5:B145,B145)=1,1,0)))</x:f>
      </x:c>
      <x:c r="X145" s="11" t="str">
        <x:f>IF(C145="","",IF(S145="Выкуплен",W145,0))</x:f>
      </x:c>
      <x:c r="Y145" s="11" t="str">
        <x:f>IF(C145="","",IF(S145="Отменён",W145,0))</x:f>
      </x:c>
      <x:c r="Z145" s="11" t="str">
        <x:f>IF(C145="","",IF(S145="Возврат",W145,0))</x:f>
      </x:c>
      <x:c r="AA145" s="11" t="str">
        <x:f>IF(C145="","",IF(S145="Выкуплен",E145,0))</x:f>
      </x:c>
    </x:row>
    <x:row r="146" ht="23" customHeight="1">
      <x:c r="A146" s="54"/>
      <x:c r="B146" s="51"/>
      <x:c r="C146" s="51"/>
      <x:c r="D146" s="11" t="str">
        <x:f>IF(C146="","",_xlfn.IFNA(INDEX(Products[Товар],MATCH(C146,Products[SKU],0)),"Нет SKU"))</x:f>
      </x:c>
      <x:c r="E146" s="51"/>
      <x:c r="F146" s="55"/>
      <x:c r="G146" s="55"/>
      <x:c r="H146" s="16" t="str">
        <x:f>IF(C146="","",IF(S146="Выкуплен",E146*(F146-G146),0))</x:f>
      </x:c>
      <x:c r="I146" s="55"/>
      <x:c r="J146" s="16" t="str">
        <x:f>IF(C146="","",IF(S146="Выкуплен",E146*I146,IF(S146="Возврат",MAX(0,E146-U146)*I146,0)))</x:f>
      </x:c>
      <x:c r="K146" s="55"/>
      <x:c r="L146" s="55"/>
      <x:c r="M146" s="55"/>
      <x:c r="N146" s="55"/>
      <x:c r="O146" s="55"/>
      <x:c r="P146" s="16" t="str">
        <x:f>IF(C146="","",H146-J146-SUM(K146:O146))</x:f>
      </x:c>
      <x:c r="Q146" s="17" t="str">
        <x:f>IF(C146="","",IF(H146=0,"",P146/H146))</x:f>
      </x:c>
      <x:c r="R146" s="17" t="str">
        <x:f>IF(C146="","",IF(J146=0,"",(H146-J146)/J146))</x:f>
      </x:c>
      <x:c r="S146" s="51"/>
      <x:c r="T146" s="51"/>
      <x:c r="U146" s="51"/>
      <x:c r="V146" s="11" t="str">
        <x:f>IF(C146="","",IF(OR(S146="Выкуплен",S146="Возврат"),E146,0))</x:f>
      </x:c>
      <x:c r="W146" s="11" t="str">
        <x:f>IF(C146="","",IF(B146="",0,IF(COUNTIFS($B$5:B146,B146)=1,1,0)))</x:f>
      </x:c>
      <x:c r="X146" s="11" t="str">
        <x:f>IF(C146="","",IF(S146="Выкуплен",W146,0))</x:f>
      </x:c>
      <x:c r="Y146" s="11" t="str">
        <x:f>IF(C146="","",IF(S146="Отменён",W146,0))</x:f>
      </x:c>
      <x:c r="Z146" s="11" t="str">
        <x:f>IF(C146="","",IF(S146="Возврат",W146,0))</x:f>
      </x:c>
      <x:c r="AA146" s="11" t="str">
        <x:f>IF(C146="","",IF(S146="Выкуплен",E146,0))</x:f>
      </x:c>
    </x:row>
    <x:row r="147" ht="23" customHeight="1">
      <x:c r="A147" s="54"/>
      <x:c r="B147" s="51"/>
      <x:c r="C147" s="51"/>
      <x:c r="D147" s="11" t="str">
        <x:f>IF(C147="","",_xlfn.IFNA(INDEX(Products[Товар],MATCH(C147,Products[SKU],0)),"Нет SKU"))</x:f>
      </x:c>
      <x:c r="E147" s="51"/>
      <x:c r="F147" s="55"/>
      <x:c r="G147" s="55"/>
      <x:c r="H147" s="16" t="str">
        <x:f>IF(C147="","",IF(S147="Выкуплен",E147*(F147-G147),0))</x:f>
      </x:c>
      <x:c r="I147" s="55"/>
      <x:c r="J147" s="16" t="str">
        <x:f>IF(C147="","",IF(S147="Выкуплен",E147*I147,IF(S147="Возврат",MAX(0,E147-U147)*I147,0)))</x:f>
      </x:c>
      <x:c r="K147" s="55"/>
      <x:c r="L147" s="55"/>
      <x:c r="M147" s="55"/>
      <x:c r="N147" s="55"/>
      <x:c r="O147" s="55"/>
      <x:c r="P147" s="16" t="str">
        <x:f>IF(C147="","",H147-J147-SUM(K147:O147))</x:f>
      </x:c>
      <x:c r="Q147" s="17" t="str">
        <x:f>IF(C147="","",IF(H147=0,"",P147/H147))</x:f>
      </x:c>
      <x:c r="R147" s="17" t="str">
        <x:f>IF(C147="","",IF(J147=0,"",(H147-J147)/J147))</x:f>
      </x:c>
      <x:c r="S147" s="51"/>
      <x:c r="T147" s="51"/>
      <x:c r="U147" s="51"/>
      <x:c r="V147" s="11" t="str">
        <x:f>IF(C147="","",IF(OR(S147="Выкуплен",S147="Возврат"),E147,0))</x:f>
      </x:c>
      <x:c r="W147" s="11" t="str">
        <x:f>IF(C147="","",IF(B147="",0,IF(COUNTIFS($B$5:B147,B147)=1,1,0)))</x:f>
      </x:c>
      <x:c r="X147" s="11" t="str">
        <x:f>IF(C147="","",IF(S147="Выкуплен",W147,0))</x:f>
      </x:c>
      <x:c r="Y147" s="11" t="str">
        <x:f>IF(C147="","",IF(S147="Отменён",W147,0))</x:f>
      </x:c>
      <x:c r="Z147" s="11" t="str">
        <x:f>IF(C147="","",IF(S147="Возврат",W147,0))</x:f>
      </x:c>
      <x:c r="AA147" s="11" t="str">
        <x:f>IF(C147="","",IF(S147="Выкуплен",E147,0))</x:f>
      </x:c>
    </x:row>
    <x:row r="148" ht="23" customHeight="1">
      <x:c r="A148" s="54"/>
      <x:c r="B148" s="51"/>
      <x:c r="C148" s="51"/>
      <x:c r="D148" s="11" t="str">
        <x:f>IF(C148="","",_xlfn.IFNA(INDEX(Products[Товар],MATCH(C148,Products[SKU],0)),"Нет SKU"))</x:f>
      </x:c>
      <x:c r="E148" s="51"/>
      <x:c r="F148" s="55"/>
      <x:c r="G148" s="55"/>
      <x:c r="H148" s="16" t="str">
        <x:f>IF(C148="","",IF(S148="Выкуплен",E148*(F148-G148),0))</x:f>
      </x:c>
      <x:c r="I148" s="55"/>
      <x:c r="J148" s="16" t="str">
        <x:f>IF(C148="","",IF(S148="Выкуплен",E148*I148,IF(S148="Возврат",MAX(0,E148-U148)*I148,0)))</x:f>
      </x:c>
      <x:c r="K148" s="55"/>
      <x:c r="L148" s="55"/>
      <x:c r="M148" s="55"/>
      <x:c r="N148" s="55"/>
      <x:c r="O148" s="55"/>
      <x:c r="P148" s="16" t="str">
        <x:f>IF(C148="","",H148-J148-SUM(K148:O148))</x:f>
      </x:c>
      <x:c r="Q148" s="17" t="str">
        <x:f>IF(C148="","",IF(H148=0,"",P148/H148))</x:f>
      </x:c>
      <x:c r="R148" s="17" t="str">
        <x:f>IF(C148="","",IF(J148=0,"",(H148-J148)/J148))</x:f>
      </x:c>
      <x:c r="S148" s="51"/>
      <x:c r="T148" s="51"/>
      <x:c r="U148" s="51"/>
      <x:c r="V148" s="11" t="str">
        <x:f>IF(C148="","",IF(OR(S148="Выкуплен",S148="Возврат"),E148,0))</x:f>
      </x:c>
      <x:c r="W148" s="11" t="str">
        <x:f>IF(C148="","",IF(B148="",0,IF(COUNTIFS($B$5:B148,B148)=1,1,0)))</x:f>
      </x:c>
      <x:c r="X148" s="11" t="str">
        <x:f>IF(C148="","",IF(S148="Выкуплен",W148,0))</x:f>
      </x:c>
      <x:c r="Y148" s="11" t="str">
        <x:f>IF(C148="","",IF(S148="Отменён",W148,0))</x:f>
      </x:c>
      <x:c r="Z148" s="11" t="str">
        <x:f>IF(C148="","",IF(S148="Возврат",W148,0))</x:f>
      </x:c>
      <x:c r="AA148" s="11" t="str">
        <x:f>IF(C148="","",IF(S148="Выкуплен",E148,0))</x:f>
      </x:c>
    </x:row>
    <x:row r="149" ht="23" customHeight="1">
      <x:c r="A149" s="54"/>
      <x:c r="B149" s="51"/>
      <x:c r="C149" s="51"/>
      <x:c r="D149" s="11" t="str">
        <x:f>IF(C149="","",_xlfn.IFNA(INDEX(Products[Товар],MATCH(C149,Products[SKU],0)),"Нет SKU"))</x:f>
      </x:c>
      <x:c r="E149" s="51"/>
      <x:c r="F149" s="55"/>
      <x:c r="G149" s="55"/>
      <x:c r="H149" s="16" t="str">
        <x:f>IF(C149="","",IF(S149="Выкуплен",E149*(F149-G149),0))</x:f>
      </x:c>
      <x:c r="I149" s="55"/>
      <x:c r="J149" s="16" t="str">
        <x:f>IF(C149="","",IF(S149="Выкуплен",E149*I149,IF(S149="Возврат",MAX(0,E149-U149)*I149,0)))</x:f>
      </x:c>
      <x:c r="K149" s="55"/>
      <x:c r="L149" s="55"/>
      <x:c r="M149" s="55"/>
      <x:c r="N149" s="55"/>
      <x:c r="O149" s="55"/>
      <x:c r="P149" s="16" t="str">
        <x:f>IF(C149="","",H149-J149-SUM(K149:O149))</x:f>
      </x:c>
      <x:c r="Q149" s="17" t="str">
        <x:f>IF(C149="","",IF(H149=0,"",P149/H149))</x:f>
      </x:c>
      <x:c r="R149" s="17" t="str">
        <x:f>IF(C149="","",IF(J149=0,"",(H149-J149)/J149))</x:f>
      </x:c>
      <x:c r="S149" s="51"/>
      <x:c r="T149" s="51"/>
      <x:c r="U149" s="51"/>
      <x:c r="V149" s="11" t="str">
        <x:f>IF(C149="","",IF(OR(S149="Выкуплен",S149="Возврат"),E149,0))</x:f>
      </x:c>
      <x:c r="W149" s="11" t="str">
        <x:f>IF(C149="","",IF(B149="",0,IF(COUNTIFS($B$5:B149,B149)=1,1,0)))</x:f>
      </x:c>
      <x:c r="X149" s="11" t="str">
        <x:f>IF(C149="","",IF(S149="Выкуплен",W149,0))</x:f>
      </x:c>
      <x:c r="Y149" s="11" t="str">
        <x:f>IF(C149="","",IF(S149="Отменён",W149,0))</x:f>
      </x:c>
      <x:c r="Z149" s="11" t="str">
        <x:f>IF(C149="","",IF(S149="Возврат",W149,0))</x:f>
      </x:c>
      <x:c r="AA149" s="11" t="str">
        <x:f>IF(C149="","",IF(S149="Выкуплен",E149,0))</x:f>
      </x:c>
    </x:row>
    <x:row r="150" ht="23" customHeight="1">
      <x:c r="A150" s="54"/>
      <x:c r="B150" s="51"/>
      <x:c r="C150" s="51"/>
      <x:c r="D150" s="11" t="str">
        <x:f>IF(C150="","",_xlfn.IFNA(INDEX(Products[Товар],MATCH(C150,Products[SKU],0)),"Нет SKU"))</x:f>
      </x:c>
      <x:c r="E150" s="51"/>
      <x:c r="F150" s="55"/>
      <x:c r="G150" s="55"/>
      <x:c r="H150" s="16" t="str">
        <x:f>IF(C150="","",IF(S150="Выкуплен",E150*(F150-G150),0))</x:f>
      </x:c>
      <x:c r="I150" s="55"/>
      <x:c r="J150" s="16" t="str">
        <x:f>IF(C150="","",IF(S150="Выкуплен",E150*I150,IF(S150="Возврат",MAX(0,E150-U150)*I150,0)))</x:f>
      </x:c>
      <x:c r="K150" s="55"/>
      <x:c r="L150" s="55"/>
      <x:c r="M150" s="55"/>
      <x:c r="N150" s="55"/>
      <x:c r="O150" s="55"/>
      <x:c r="P150" s="16" t="str">
        <x:f>IF(C150="","",H150-J150-SUM(K150:O150))</x:f>
      </x:c>
      <x:c r="Q150" s="17" t="str">
        <x:f>IF(C150="","",IF(H150=0,"",P150/H150))</x:f>
      </x:c>
      <x:c r="R150" s="17" t="str">
        <x:f>IF(C150="","",IF(J150=0,"",(H150-J150)/J150))</x:f>
      </x:c>
      <x:c r="S150" s="51"/>
      <x:c r="T150" s="51"/>
      <x:c r="U150" s="51"/>
      <x:c r="V150" s="11" t="str">
        <x:f>IF(C150="","",IF(OR(S150="Выкуплен",S150="Возврат"),E150,0))</x:f>
      </x:c>
      <x:c r="W150" s="11" t="str">
        <x:f>IF(C150="","",IF(B150="",0,IF(COUNTIFS($B$5:B150,B150)=1,1,0)))</x:f>
      </x:c>
      <x:c r="X150" s="11" t="str">
        <x:f>IF(C150="","",IF(S150="Выкуплен",W150,0))</x:f>
      </x:c>
      <x:c r="Y150" s="11" t="str">
        <x:f>IF(C150="","",IF(S150="Отменён",W150,0))</x:f>
      </x:c>
      <x:c r="Z150" s="11" t="str">
        <x:f>IF(C150="","",IF(S150="Возврат",W150,0))</x:f>
      </x:c>
      <x:c r="AA150" s="11" t="str">
        <x:f>IF(C150="","",IF(S150="Выкуплен",E150,0))</x:f>
      </x:c>
    </x:row>
    <x:row r="151" ht="23" customHeight="1">
      <x:c r="A151" s="54"/>
      <x:c r="B151" s="51"/>
      <x:c r="C151" s="51"/>
      <x:c r="D151" s="11" t="str">
        <x:f>IF(C151="","",_xlfn.IFNA(INDEX(Products[Товар],MATCH(C151,Products[SKU],0)),"Нет SKU"))</x:f>
      </x:c>
      <x:c r="E151" s="51"/>
      <x:c r="F151" s="55"/>
      <x:c r="G151" s="55"/>
      <x:c r="H151" s="16" t="str">
        <x:f>IF(C151="","",IF(S151="Выкуплен",E151*(F151-G151),0))</x:f>
      </x:c>
      <x:c r="I151" s="55"/>
      <x:c r="J151" s="16" t="str">
        <x:f>IF(C151="","",IF(S151="Выкуплен",E151*I151,IF(S151="Возврат",MAX(0,E151-U151)*I151,0)))</x:f>
      </x:c>
      <x:c r="K151" s="55"/>
      <x:c r="L151" s="55"/>
      <x:c r="M151" s="55"/>
      <x:c r="N151" s="55"/>
      <x:c r="O151" s="55"/>
      <x:c r="P151" s="16" t="str">
        <x:f>IF(C151="","",H151-J151-SUM(K151:O151))</x:f>
      </x:c>
      <x:c r="Q151" s="17" t="str">
        <x:f>IF(C151="","",IF(H151=0,"",P151/H151))</x:f>
      </x:c>
      <x:c r="R151" s="17" t="str">
        <x:f>IF(C151="","",IF(J151=0,"",(H151-J151)/J151))</x:f>
      </x:c>
      <x:c r="S151" s="51"/>
      <x:c r="T151" s="51"/>
      <x:c r="U151" s="51"/>
      <x:c r="V151" s="11" t="str">
        <x:f>IF(C151="","",IF(OR(S151="Выкуплен",S151="Возврат"),E151,0))</x:f>
      </x:c>
      <x:c r="W151" s="11" t="str">
        <x:f>IF(C151="","",IF(B151="",0,IF(COUNTIFS($B$5:B151,B151)=1,1,0)))</x:f>
      </x:c>
      <x:c r="X151" s="11" t="str">
        <x:f>IF(C151="","",IF(S151="Выкуплен",W151,0))</x:f>
      </x:c>
      <x:c r="Y151" s="11" t="str">
        <x:f>IF(C151="","",IF(S151="Отменён",W151,0))</x:f>
      </x:c>
      <x:c r="Z151" s="11" t="str">
        <x:f>IF(C151="","",IF(S151="Возврат",W151,0))</x:f>
      </x:c>
      <x:c r="AA151" s="11" t="str">
        <x:f>IF(C151="","",IF(S151="Выкуплен",E151,0))</x:f>
      </x:c>
    </x:row>
    <x:row r="152" ht="23" customHeight="1">
      <x:c r="A152" s="54"/>
      <x:c r="B152" s="51"/>
      <x:c r="C152" s="51"/>
      <x:c r="D152" s="11" t="str">
        <x:f>IF(C152="","",_xlfn.IFNA(INDEX(Products[Товар],MATCH(C152,Products[SKU],0)),"Нет SKU"))</x:f>
      </x:c>
      <x:c r="E152" s="51"/>
      <x:c r="F152" s="55"/>
      <x:c r="G152" s="55"/>
      <x:c r="H152" s="16" t="str">
        <x:f>IF(C152="","",IF(S152="Выкуплен",E152*(F152-G152),0))</x:f>
      </x:c>
      <x:c r="I152" s="55"/>
      <x:c r="J152" s="16" t="str">
        <x:f>IF(C152="","",IF(S152="Выкуплен",E152*I152,IF(S152="Возврат",MAX(0,E152-U152)*I152,0)))</x:f>
      </x:c>
      <x:c r="K152" s="55"/>
      <x:c r="L152" s="55"/>
      <x:c r="M152" s="55"/>
      <x:c r="N152" s="55"/>
      <x:c r="O152" s="55"/>
      <x:c r="P152" s="16" t="str">
        <x:f>IF(C152="","",H152-J152-SUM(K152:O152))</x:f>
      </x:c>
      <x:c r="Q152" s="17" t="str">
        <x:f>IF(C152="","",IF(H152=0,"",P152/H152))</x:f>
      </x:c>
      <x:c r="R152" s="17" t="str">
        <x:f>IF(C152="","",IF(J152=0,"",(H152-J152)/J152))</x:f>
      </x:c>
      <x:c r="S152" s="51"/>
      <x:c r="T152" s="51"/>
      <x:c r="U152" s="51"/>
      <x:c r="V152" s="11" t="str">
        <x:f>IF(C152="","",IF(OR(S152="Выкуплен",S152="Возврат"),E152,0))</x:f>
      </x:c>
      <x:c r="W152" s="11" t="str">
        <x:f>IF(C152="","",IF(B152="",0,IF(COUNTIFS($B$5:B152,B152)=1,1,0)))</x:f>
      </x:c>
      <x:c r="X152" s="11" t="str">
        <x:f>IF(C152="","",IF(S152="Выкуплен",W152,0))</x:f>
      </x:c>
      <x:c r="Y152" s="11" t="str">
        <x:f>IF(C152="","",IF(S152="Отменён",W152,0))</x:f>
      </x:c>
      <x:c r="Z152" s="11" t="str">
        <x:f>IF(C152="","",IF(S152="Возврат",W152,0))</x:f>
      </x:c>
      <x:c r="AA152" s="11" t="str">
        <x:f>IF(C152="","",IF(S152="Выкуплен",E152,0))</x:f>
      </x:c>
    </x:row>
    <x:row r="153" ht="23" customHeight="1">
      <x:c r="A153" s="54"/>
      <x:c r="B153" s="51"/>
      <x:c r="C153" s="51"/>
      <x:c r="D153" s="11" t="str">
        <x:f>IF(C153="","",_xlfn.IFNA(INDEX(Products[Товар],MATCH(C153,Products[SKU],0)),"Нет SKU"))</x:f>
      </x:c>
      <x:c r="E153" s="51"/>
      <x:c r="F153" s="55"/>
      <x:c r="G153" s="55"/>
      <x:c r="H153" s="16" t="str">
        <x:f>IF(C153="","",IF(S153="Выкуплен",E153*(F153-G153),0))</x:f>
      </x:c>
      <x:c r="I153" s="55"/>
      <x:c r="J153" s="16" t="str">
        <x:f>IF(C153="","",IF(S153="Выкуплен",E153*I153,IF(S153="Возврат",MAX(0,E153-U153)*I153,0)))</x:f>
      </x:c>
      <x:c r="K153" s="55"/>
      <x:c r="L153" s="55"/>
      <x:c r="M153" s="55"/>
      <x:c r="N153" s="55"/>
      <x:c r="O153" s="55"/>
      <x:c r="P153" s="16" t="str">
        <x:f>IF(C153="","",H153-J153-SUM(K153:O153))</x:f>
      </x:c>
      <x:c r="Q153" s="17" t="str">
        <x:f>IF(C153="","",IF(H153=0,"",P153/H153))</x:f>
      </x:c>
      <x:c r="R153" s="17" t="str">
        <x:f>IF(C153="","",IF(J153=0,"",(H153-J153)/J153))</x:f>
      </x:c>
      <x:c r="S153" s="51"/>
      <x:c r="T153" s="51"/>
      <x:c r="U153" s="51"/>
      <x:c r="V153" s="11" t="str">
        <x:f>IF(C153="","",IF(OR(S153="Выкуплен",S153="Возврат"),E153,0))</x:f>
      </x:c>
      <x:c r="W153" s="11" t="str">
        <x:f>IF(C153="","",IF(B153="",0,IF(COUNTIFS($B$5:B153,B153)=1,1,0)))</x:f>
      </x:c>
      <x:c r="X153" s="11" t="str">
        <x:f>IF(C153="","",IF(S153="Выкуплен",W153,0))</x:f>
      </x:c>
      <x:c r="Y153" s="11" t="str">
        <x:f>IF(C153="","",IF(S153="Отменён",W153,0))</x:f>
      </x:c>
      <x:c r="Z153" s="11" t="str">
        <x:f>IF(C153="","",IF(S153="Возврат",W153,0))</x:f>
      </x:c>
      <x:c r="AA153" s="11" t="str">
        <x:f>IF(C153="","",IF(S153="Выкуплен",E153,0))</x:f>
      </x:c>
    </x:row>
    <x:row r="154" ht="23" customHeight="1">
      <x:c r="A154" s="54"/>
      <x:c r="B154" s="51"/>
      <x:c r="C154" s="51"/>
      <x:c r="D154" s="11" t="str">
        <x:f>IF(C154="","",_xlfn.IFNA(INDEX(Products[Товар],MATCH(C154,Products[SKU],0)),"Нет SKU"))</x:f>
      </x:c>
      <x:c r="E154" s="51"/>
      <x:c r="F154" s="55"/>
      <x:c r="G154" s="55"/>
      <x:c r="H154" s="16" t="str">
        <x:f>IF(C154="","",IF(S154="Выкуплен",E154*(F154-G154),0))</x:f>
      </x:c>
      <x:c r="I154" s="55"/>
      <x:c r="J154" s="16" t="str">
        <x:f>IF(C154="","",IF(S154="Выкуплен",E154*I154,IF(S154="Возврат",MAX(0,E154-U154)*I154,0)))</x:f>
      </x:c>
      <x:c r="K154" s="55"/>
      <x:c r="L154" s="55"/>
      <x:c r="M154" s="55"/>
      <x:c r="N154" s="55"/>
      <x:c r="O154" s="55"/>
      <x:c r="P154" s="16" t="str">
        <x:f>IF(C154="","",H154-J154-SUM(K154:O154))</x:f>
      </x:c>
      <x:c r="Q154" s="17" t="str">
        <x:f>IF(C154="","",IF(H154=0,"",P154/H154))</x:f>
      </x:c>
      <x:c r="R154" s="17" t="str">
        <x:f>IF(C154="","",IF(J154=0,"",(H154-J154)/J154))</x:f>
      </x:c>
      <x:c r="S154" s="51"/>
      <x:c r="T154" s="51"/>
      <x:c r="U154" s="51"/>
      <x:c r="V154" s="11" t="str">
        <x:f>IF(C154="","",IF(OR(S154="Выкуплен",S154="Возврат"),E154,0))</x:f>
      </x:c>
      <x:c r="W154" s="11" t="str">
        <x:f>IF(C154="","",IF(B154="",0,IF(COUNTIFS($B$5:B154,B154)=1,1,0)))</x:f>
      </x:c>
      <x:c r="X154" s="11" t="str">
        <x:f>IF(C154="","",IF(S154="Выкуплен",W154,0))</x:f>
      </x:c>
      <x:c r="Y154" s="11" t="str">
        <x:f>IF(C154="","",IF(S154="Отменён",W154,0))</x:f>
      </x:c>
      <x:c r="Z154" s="11" t="str">
        <x:f>IF(C154="","",IF(S154="Возврат",W154,0))</x:f>
      </x:c>
      <x:c r="AA154" s="11" t="str">
        <x:f>IF(C154="","",IF(S154="Выкуплен",E154,0))</x:f>
      </x:c>
    </x:row>
    <x:row r="155" ht="23" customHeight="1">
      <x:c r="A155" s="54"/>
      <x:c r="B155" s="51"/>
      <x:c r="C155" s="51"/>
      <x:c r="D155" s="11" t="str">
        <x:f>IF(C155="","",_xlfn.IFNA(INDEX(Products[Товар],MATCH(C155,Products[SKU],0)),"Нет SKU"))</x:f>
      </x:c>
      <x:c r="E155" s="51"/>
      <x:c r="F155" s="55"/>
      <x:c r="G155" s="55"/>
      <x:c r="H155" s="16" t="str">
        <x:f>IF(C155="","",IF(S155="Выкуплен",E155*(F155-G155),0))</x:f>
      </x:c>
      <x:c r="I155" s="55"/>
      <x:c r="J155" s="16" t="str">
        <x:f>IF(C155="","",IF(S155="Выкуплен",E155*I155,IF(S155="Возврат",MAX(0,E155-U155)*I155,0)))</x:f>
      </x:c>
      <x:c r="K155" s="55"/>
      <x:c r="L155" s="55"/>
      <x:c r="M155" s="55"/>
      <x:c r="N155" s="55"/>
      <x:c r="O155" s="55"/>
      <x:c r="P155" s="16" t="str">
        <x:f>IF(C155="","",H155-J155-SUM(K155:O155))</x:f>
      </x:c>
      <x:c r="Q155" s="17" t="str">
        <x:f>IF(C155="","",IF(H155=0,"",P155/H155))</x:f>
      </x:c>
      <x:c r="R155" s="17" t="str">
        <x:f>IF(C155="","",IF(J155=0,"",(H155-J155)/J155))</x:f>
      </x:c>
      <x:c r="S155" s="51"/>
      <x:c r="T155" s="51"/>
      <x:c r="U155" s="51"/>
      <x:c r="V155" s="11" t="str">
        <x:f>IF(C155="","",IF(OR(S155="Выкуплен",S155="Возврат"),E155,0))</x:f>
      </x:c>
      <x:c r="W155" s="11" t="str">
        <x:f>IF(C155="","",IF(B155="",0,IF(COUNTIFS($B$5:B155,B155)=1,1,0)))</x:f>
      </x:c>
      <x:c r="X155" s="11" t="str">
        <x:f>IF(C155="","",IF(S155="Выкуплен",W155,0))</x:f>
      </x:c>
      <x:c r="Y155" s="11" t="str">
        <x:f>IF(C155="","",IF(S155="Отменён",W155,0))</x:f>
      </x:c>
      <x:c r="Z155" s="11" t="str">
        <x:f>IF(C155="","",IF(S155="Возврат",W155,0))</x:f>
      </x:c>
      <x:c r="AA155" s="11" t="str">
        <x:f>IF(C155="","",IF(S155="Выкуплен",E155,0))</x:f>
      </x:c>
    </x:row>
    <x:row r="156" ht="23" customHeight="1">
      <x:c r="A156" s="54"/>
      <x:c r="B156" s="51"/>
      <x:c r="C156" s="51"/>
      <x:c r="D156" s="11" t="str">
        <x:f>IF(C156="","",_xlfn.IFNA(INDEX(Products[Товар],MATCH(C156,Products[SKU],0)),"Нет SKU"))</x:f>
      </x:c>
      <x:c r="E156" s="51"/>
      <x:c r="F156" s="55"/>
      <x:c r="G156" s="55"/>
      <x:c r="H156" s="16" t="str">
        <x:f>IF(C156="","",IF(S156="Выкуплен",E156*(F156-G156),0))</x:f>
      </x:c>
      <x:c r="I156" s="55"/>
      <x:c r="J156" s="16" t="str">
        <x:f>IF(C156="","",IF(S156="Выкуплен",E156*I156,IF(S156="Возврат",MAX(0,E156-U156)*I156,0)))</x:f>
      </x:c>
      <x:c r="K156" s="55"/>
      <x:c r="L156" s="55"/>
      <x:c r="M156" s="55"/>
      <x:c r="N156" s="55"/>
      <x:c r="O156" s="55"/>
      <x:c r="P156" s="16" t="str">
        <x:f>IF(C156="","",H156-J156-SUM(K156:O156))</x:f>
      </x:c>
      <x:c r="Q156" s="17" t="str">
        <x:f>IF(C156="","",IF(H156=0,"",P156/H156))</x:f>
      </x:c>
      <x:c r="R156" s="17" t="str">
        <x:f>IF(C156="","",IF(J156=0,"",(H156-J156)/J156))</x:f>
      </x:c>
      <x:c r="S156" s="51"/>
      <x:c r="T156" s="51"/>
      <x:c r="U156" s="51"/>
      <x:c r="V156" s="11" t="str">
        <x:f>IF(C156="","",IF(OR(S156="Выкуплен",S156="Возврат"),E156,0))</x:f>
      </x:c>
      <x:c r="W156" s="11" t="str">
        <x:f>IF(C156="","",IF(B156="",0,IF(COUNTIFS($B$5:B156,B156)=1,1,0)))</x:f>
      </x:c>
      <x:c r="X156" s="11" t="str">
        <x:f>IF(C156="","",IF(S156="Выкуплен",W156,0))</x:f>
      </x:c>
      <x:c r="Y156" s="11" t="str">
        <x:f>IF(C156="","",IF(S156="Отменён",W156,0))</x:f>
      </x:c>
      <x:c r="Z156" s="11" t="str">
        <x:f>IF(C156="","",IF(S156="Возврат",W156,0))</x:f>
      </x:c>
      <x:c r="AA156" s="11" t="str">
        <x:f>IF(C156="","",IF(S156="Выкуплен",E156,0))</x:f>
      </x:c>
    </x:row>
    <x:row r="157" ht="23" customHeight="1">
      <x:c r="A157" s="54"/>
      <x:c r="B157" s="51"/>
      <x:c r="C157" s="51"/>
      <x:c r="D157" s="11" t="str">
        <x:f>IF(C157="","",_xlfn.IFNA(INDEX(Products[Товар],MATCH(C157,Products[SKU],0)),"Нет SKU"))</x:f>
      </x:c>
      <x:c r="E157" s="51"/>
      <x:c r="F157" s="55"/>
      <x:c r="G157" s="55"/>
      <x:c r="H157" s="16" t="str">
        <x:f>IF(C157="","",IF(S157="Выкуплен",E157*(F157-G157),0))</x:f>
      </x:c>
      <x:c r="I157" s="55"/>
      <x:c r="J157" s="16" t="str">
        <x:f>IF(C157="","",IF(S157="Выкуплен",E157*I157,IF(S157="Возврат",MAX(0,E157-U157)*I157,0)))</x:f>
      </x:c>
      <x:c r="K157" s="55"/>
      <x:c r="L157" s="55"/>
      <x:c r="M157" s="55"/>
      <x:c r="N157" s="55"/>
      <x:c r="O157" s="55"/>
      <x:c r="P157" s="16" t="str">
        <x:f>IF(C157="","",H157-J157-SUM(K157:O157))</x:f>
      </x:c>
      <x:c r="Q157" s="17" t="str">
        <x:f>IF(C157="","",IF(H157=0,"",P157/H157))</x:f>
      </x:c>
      <x:c r="R157" s="17" t="str">
        <x:f>IF(C157="","",IF(J157=0,"",(H157-J157)/J157))</x:f>
      </x:c>
      <x:c r="S157" s="51"/>
      <x:c r="T157" s="51"/>
      <x:c r="U157" s="51"/>
      <x:c r="V157" s="11" t="str">
        <x:f>IF(C157="","",IF(OR(S157="Выкуплен",S157="Возврат"),E157,0))</x:f>
      </x:c>
      <x:c r="W157" s="11" t="str">
        <x:f>IF(C157="","",IF(B157="",0,IF(COUNTIFS($B$5:B157,B157)=1,1,0)))</x:f>
      </x:c>
      <x:c r="X157" s="11" t="str">
        <x:f>IF(C157="","",IF(S157="Выкуплен",W157,0))</x:f>
      </x:c>
      <x:c r="Y157" s="11" t="str">
        <x:f>IF(C157="","",IF(S157="Отменён",W157,0))</x:f>
      </x:c>
      <x:c r="Z157" s="11" t="str">
        <x:f>IF(C157="","",IF(S157="Возврат",W157,0))</x:f>
      </x:c>
      <x:c r="AA157" s="11" t="str">
        <x:f>IF(C157="","",IF(S157="Выкуплен",E157,0))</x:f>
      </x:c>
    </x:row>
    <x:row r="158" ht="23" customHeight="1">
      <x:c r="A158" s="54"/>
      <x:c r="B158" s="51"/>
      <x:c r="C158" s="51"/>
      <x:c r="D158" s="11" t="str">
        <x:f>IF(C158="","",_xlfn.IFNA(INDEX(Products[Товар],MATCH(C158,Products[SKU],0)),"Нет SKU"))</x:f>
      </x:c>
      <x:c r="E158" s="51"/>
      <x:c r="F158" s="55"/>
      <x:c r="G158" s="55"/>
      <x:c r="H158" s="16" t="str">
        <x:f>IF(C158="","",IF(S158="Выкуплен",E158*(F158-G158),0))</x:f>
      </x:c>
      <x:c r="I158" s="55"/>
      <x:c r="J158" s="16" t="str">
        <x:f>IF(C158="","",IF(S158="Выкуплен",E158*I158,IF(S158="Возврат",MAX(0,E158-U158)*I158,0)))</x:f>
      </x:c>
      <x:c r="K158" s="55"/>
      <x:c r="L158" s="55"/>
      <x:c r="M158" s="55"/>
      <x:c r="N158" s="55"/>
      <x:c r="O158" s="55"/>
      <x:c r="P158" s="16" t="str">
        <x:f>IF(C158="","",H158-J158-SUM(K158:O158))</x:f>
      </x:c>
      <x:c r="Q158" s="17" t="str">
        <x:f>IF(C158="","",IF(H158=0,"",P158/H158))</x:f>
      </x:c>
      <x:c r="R158" s="17" t="str">
        <x:f>IF(C158="","",IF(J158=0,"",(H158-J158)/J158))</x:f>
      </x:c>
      <x:c r="S158" s="51"/>
      <x:c r="T158" s="51"/>
      <x:c r="U158" s="51"/>
      <x:c r="V158" s="11" t="str">
        <x:f>IF(C158="","",IF(OR(S158="Выкуплен",S158="Возврат"),E158,0))</x:f>
      </x:c>
      <x:c r="W158" s="11" t="str">
        <x:f>IF(C158="","",IF(B158="",0,IF(COUNTIFS($B$5:B158,B158)=1,1,0)))</x:f>
      </x:c>
      <x:c r="X158" s="11" t="str">
        <x:f>IF(C158="","",IF(S158="Выкуплен",W158,0))</x:f>
      </x:c>
      <x:c r="Y158" s="11" t="str">
        <x:f>IF(C158="","",IF(S158="Отменён",W158,0))</x:f>
      </x:c>
      <x:c r="Z158" s="11" t="str">
        <x:f>IF(C158="","",IF(S158="Возврат",W158,0))</x:f>
      </x:c>
      <x:c r="AA158" s="11" t="str">
        <x:f>IF(C158="","",IF(S158="Выкуплен",E158,0))</x:f>
      </x:c>
    </x:row>
    <x:row r="159" ht="23" customHeight="1">
      <x:c r="A159" s="54"/>
      <x:c r="B159" s="51"/>
      <x:c r="C159" s="51"/>
      <x:c r="D159" s="11" t="str">
        <x:f>IF(C159="","",_xlfn.IFNA(INDEX(Products[Товар],MATCH(C159,Products[SKU],0)),"Нет SKU"))</x:f>
      </x:c>
      <x:c r="E159" s="51"/>
      <x:c r="F159" s="55"/>
      <x:c r="G159" s="55"/>
      <x:c r="H159" s="16" t="str">
        <x:f>IF(C159="","",IF(S159="Выкуплен",E159*(F159-G159),0))</x:f>
      </x:c>
      <x:c r="I159" s="55"/>
      <x:c r="J159" s="16" t="str">
        <x:f>IF(C159="","",IF(S159="Выкуплен",E159*I159,IF(S159="Возврат",MAX(0,E159-U159)*I159,0)))</x:f>
      </x:c>
      <x:c r="K159" s="55"/>
      <x:c r="L159" s="55"/>
      <x:c r="M159" s="55"/>
      <x:c r="N159" s="55"/>
      <x:c r="O159" s="55"/>
      <x:c r="P159" s="16" t="str">
        <x:f>IF(C159="","",H159-J159-SUM(K159:O159))</x:f>
      </x:c>
      <x:c r="Q159" s="17" t="str">
        <x:f>IF(C159="","",IF(H159=0,"",P159/H159))</x:f>
      </x:c>
      <x:c r="R159" s="17" t="str">
        <x:f>IF(C159="","",IF(J159=0,"",(H159-J159)/J159))</x:f>
      </x:c>
      <x:c r="S159" s="51"/>
      <x:c r="T159" s="51"/>
      <x:c r="U159" s="51"/>
      <x:c r="V159" s="11" t="str">
        <x:f>IF(C159="","",IF(OR(S159="Выкуплен",S159="Возврат"),E159,0))</x:f>
      </x:c>
      <x:c r="W159" s="11" t="str">
        <x:f>IF(C159="","",IF(B159="",0,IF(COUNTIFS($B$5:B159,B159)=1,1,0)))</x:f>
      </x:c>
      <x:c r="X159" s="11" t="str">
        <x:f>IF(C159="","",IF(S159="Выкуплен",W159,0))</x:f>
      </x:c>
      <x:c r="Y159" s="11" t="str">
        <x:f>IF(C159="","",IF(S159="Отменён",W159,0))</x:f>
      </x:c>
      <x:c r="Z159" s="11" t="str">
        <x:f>IF(C159="","",IF(S159="Возврат",W159,0))</x:f>
      </x:c>
      <x:c r="AA159" s="11" t="str">
        <x:f>IF(C159="","",IF(S159="Выкуплен",E159,0))</x:f>
      </x:c>
    </x:row>
    <x:row r="160" ht="23" customHeight="1">
      <x:c r="A160" s="54"/>
      <x:c r="B160" s="51"/>
      <x:c r="C160" s="51"/>
      <x:c r="D160" s="11" t="str">
        <x:f>IF(C160="","",_xlfn.IFNA(INDEX(Products[Товар],MATCH(C160,Products[SKU],0)),"Нет SKU"))</x:f>
      </x:c>
      <x:c r="E160" s="51"/>
      <x:c r="F160" s="55"/>
      <x:c r="G160" s="55"/>
      <x:c r="H160" s="16" t="str">
        <x:f>IF(C160="","",IF(S160="Выкуплен",E160*(F160-G160),0))</x:f>
      </x:c>
      <x:c r="I160" s="55"/>
      <x:c r="J160" s="16" t="str">
        <x:f>IF(C160="","",IF(S160="Выкуплен",E160*I160,IF(S160="Возврат",MAX(0,E160-U160)*I160,0)))</x:f>
      </x:c>
      <x:c r="K160" s="55"/>
      <x:c r="L160" s="55"/>
      <x:c r="M160" s="55"/>
      <x:c r="N160" s="55"/>
      <x:c r="O160" s="55"/>
      <x:c r="P160" s="16" t="str">
        <x:f>IF(C160="","",H160-J160-SUM(K160:O160))</x:f>
      </x:c>
      <x:c r="Q160" s="17" t="str">
        <x:f>IF(C160="","",IF(H160=0,"",P160/H160))</x:f>
      </x:c>
      <x:c r="R160" s="17" t="str">
        <x:f>IF(C160="","",IF(J160=0,"",(H160-J160)/J160))</x:f>
      </x:c>
      <x:c r="S160" s="51"/>
      <x:c r="T160" s="51"/>
      <x:c r="U160" s="51"/>
      <x:c r="V160" s="11" t="str">
        <x:f>IF(C160="","",IF(OR(S160="Выкуплен",S160="Возврат"),E160,0))</x:f>
      </x:c>
      <x:c r="W160" s="11" t="str">
        <x:f>IF(C160="","",IF(B160="",0,IF(COUNTIFS($B$5:B160,B160)=1,1,0)))</x:f>
      </x:c>
      <x:c r="X160" s="11" t="str">
        <x:f>IF(C160="","",IF(S160="Выкуплен",W160,0))</x:f>
      </x:c>
      <x:c r="Y160" s="11" t="str">
        <x:f>IF(C160="","",IF(S160="Отменён",W160,0))</x:f>
      </x:c>
      <x:c r="Z160" s="11" t="str">
        <x:f>IF(C160="","",IF(S160="Возврат",W160,0))</x:f>
      </x:c>
      <x:c r="AA160" s="11" t="str">
        <x:f>IF(C160="","",IF(S160="Выкуплен",E160,0))</x:f>
      </x:c>
    </x:row>
    <x:row r="161" ht="23" customHeight="1">
      <x:c r="A161" s="54"/>
      <x:c r="B161" s="51"/>
      <x:c r="C161" s="51"/>
      <x:c r="D161" s="11" t="str">
        <x:f>IF(C161="","",_xlfn.IFNA(INDEX(Products[Товар],MATCH(C161,Products[SKU],0)),"Нет SKU"))</x:f>
      </x:c>
      <x:c r="E161" s="51"/>
      <x:c r="F161" s="55"/>
      <x:c r="G161" s="55"/>
      <x:c r="H161" s="16" t="str">
        <x:f>IF(C161="","",IF(S161="Выкуплен",E161*(F161-G161),0))</x:f>
      </x:c>
      <x:c r="I161" s="55"/>
      <x:c r="J161" s="16" t="str">
        <x:f>IF(C161="","",IF(S161="Выкуплен",E161*I161,IF(S161="Возврат",MAX(0,E161-U161)*I161,0)))</x:f>
      </x:c>
      <x:c r="K161" s="55"/>
      <x:c r="L161" s="55"/>
      <x:c r="M161" s="55"/>
      <x:c r="N161" s="55"/>
      <x:c r="O161" s="55"/>
      <x:c r="P161" s="16" t="str">
        <x:f>IF(C161="","",H161-J161-SUM(K161:O161))</x:f>
      </x:c>
      <x:c r="Q161" s="17" t="str">
        <x:f>IF(C161="","",IF(H161=0,"",P161/H161))</x:f>
      </x:c>
      <x:c r="R161" s="17" t="str">
        <x:f>IF(C161="","",IF(J161=0,"",(H161-J161)/J161))</x:f>
      </x:c>
      <x:c r="S161" s="51"/>
      <x:c r="T161" s="51"/>
      <x:c r="U161" s="51"/>
      <x:c r="V161" s="11" t="str">
        <x:f>IF(C161="","",IF(OR(S161="Выкуплен",S161="Возврат"),E161,0))</x:f>
      </x:c>
      <x:c r="W161" s="11" t="str">
        <x:f>IF(C161="","",IF(B161="",0,IF(COUNTIFS($B$5:B161,B161)=1,1,0)))</x:f>
      </x:c>
      <x:c r="X161" s="11" t="str">
        <x:f>IF(C161="","",IF(S161="Выкуплен",W161,0))</x:f>
      </x:c>
      <x:c r="Y161" s="11" t="str">
        <x:f>IF(C161="","",IF(S161="Отменён",W161,0))</x:f>
      </x:c>
      <x:c r="Z161" s="11" t="str">
        <x:f>IF(C161="","",IF(S161="Возврат",W161,0))</x:f>
      </x:c>
      <x:c r="AA161" s="11" t="str">
        <x:f>IF(C161="","",IF(S161="Выкуплен",E161,0))</x:f>
      </x:c>
    </x:row>
    <x:row r="162" ht="23" customHeight="1">
      <x:c r="A162" s="54"/>
      <x:c r="B162" s="51"/>
      <x:c r="C162" s="51"/>
      <x:c r="D162" s="11" t="str">
        <x:f>IF(C162="","",_xlfn.IFNA(INDEX(Products[Товар],MATCH(C162,Products[SKU],0)),"Нет SKU"))</x:f>
      </x:c>
      <x:c r="E162" s="51"/>
      <x:c r="F162" s="55"/>
      <x:c r="G162" s="55"/>
      <x:c r="H162" s="16" t="str">
        <x:f>IF(C162="","",IF(S162="Выкуплен",E162*(F162-G162),0))</x:f>
      </x:c>
      <x:c r="I162" s="55"/>
      <x:c r="J162" s="16" t="str">
        <x:f>IF(C162="","",IF(S162="Выкуплен",E162*I162,IF(S162="Возврат",MAX(0,E162-U162)*I162,0)))</x:f>
      </x:c>
      <x:c r="K162" s="55"/>
      <x:c r="L162" s="55"/>
      <x:c r="M162" s="55"/>
      <x:c r="N162" s="55"/>
      <x:c r="O162" s="55"/>
      <x:c r="P162" s="16" t="str">
        <x:f>IF(C162="","",H162-J162-SUM(K162:O162))</x:f>
      </x:c>
      <x:c r="Q162" s="17" t="str">
        <x:f>IF(C162="","",IF(H162=0,"",P162/H162))</x:f>
      </x:c>
      <x:c r="R162" s="17" t="str">
        <x:f>IF(C162="","",IF(J162=0,"",(H162-J162)/J162))</x:f>
      </x:c>
      <x:c r="S162" s="51"/>
      <x:c r="T162" s="51"/>
      <x:c r="U162" s="51"/>
      <x:c r="V162" s="11" t="str">
        <x:f>IF(C162="","",IF(OR(S162="Выкуплен",S162="Возврат"),E162,0))</x:f>
      </x:c>
      <x:c r="W162" s="11" t="str">
        <x:f>IF(C162="","",IF(B162="",0,IF(COUNTIFS($B$5:B162,B162)=1,1,0)))</x:f>
      </x:c>
      <x:c r="X162" s="11" t="str">
        <x:f>IF(C162="","",IF(S162="Выкуплен",W162,0))</x:f>
      </x:c>
      <x:c r="Y162" s="11" t="str">
        <x:f>IF(C162="","",IF(S162="Отменён",W162,0))</x:f>
      </x:c>
      <x:c r="Z162" s="11" t="str">
        <x:f>IF(C162="","",IF(S162="Возврат",W162,0))</x:f>
      </x:c>
      <x:c r="AA162" s="11" t="str">
        <x:f>IF(C162="","",IF(S162="Выкуплен",E162,0))</x:f>
      </x:c>
    </x:row>
    <x:row r="163" ht="23" customHeight="1">
      <x:c r="A163" s="54"/>
      <x:c r="B163" s="51"/>
      <x:c r="C163" s="51"/>
      <x:c r="D163" s="11" t="str">
        <x:f>IF(C163="","",_xlfn.IFNA(INDEX(Products[Товар],MATCH(C163,Products[SKU],0)),"Нет SKU"))</x:f>
      </x:c>
      <x:c r="E163" s="51"/>
      <x:c r="F163" s="55"/>
      <x:c r="G163" s="55"/>
      <x:c r="H163" s="16" t="str">
        <x:f>IF(C163="","",IF(S163="Выкуплен",E163*(F163-G163),0))</x:f>
      </x:c>
      <x:c r="I163" s="55"/>
      <x:c r="J163" s="16" t="str">
        <x:f>IF(C163="","",IF(S163="Выкуплен",E163*I163,IF(S163="Возврат",MAX(0,E163-U163)*I163,0)))</x:f>
      </x:c>
      <x:c r="K163" s="55"/>
      <x:c r="L163" s="55"/>
      <x:c r="M163" s="55"/>
      <x:c r="N163" s="55"/>
      <x:c r="O163" s="55"/>
      <x:c r="P163" s="16" t="str">
        <x:f>IF(C163="","",H163-J163-SUM(K163:O163))</x:f>
      </x:c>
      <x:c r="Q163" s="17" t="str">
        <x:f>IF(C163="","",IF(H163=0,"",P163/H163))</x:f>
      </x:c>
      <x:c r="R163" s="17" t="str">
        <x:f>IF(C163="","",IF(J163=0,"",(H163-J163)/J163))</x:f>
      </x:c>
      <x:c r="S163" s="51"/>
      <x:c r="T163" s="51"/>
      <x:c r="U163" s="51"/>
      <x:c r="V163" s="11" t="str">
        <x:f>IF(C163="","",IF(OR(S163="Выкуплен",S163="Возврат"),E163,0))</x:f>
      </x:c>
      <x:c r="W163" s="11" t="str">
        <x:f>IF(C163="","",IF(B163="",0,IF(COUNTIFS($B$5:B163,B163)=1,1,0)))</x:f>
      </x:c>
      <x:c r="X163" s="11" t="str">
        <x:f>IF(C163="","",IF(S163="Выкуплен",W163,0))</x:f>
      </x:c>
      <x:c r="Y163" s="11" t="str">
        <x:f>IF(C163="","",IF(S163="Отменён",W163,0))</x:f>
      </x:c>
      <x:c r="Z163" s="11" t="str">
        <x:f>IF(C163="","",IF(S163="Возврат",W163,0))</x:f>
      </x:c>
      <x:c r="AA163" s="11" t="str">
        <x:f>IF(C163="","",IF(S163="Выкуплен",E163,0))</x:f>
      </x:c>
    </x:row>
    <x:row r="164" ht="23" customHeight="1">
      <x:c r="A164" s="54"/>
      <x:c r="B164" s="51"/>
      <x:c r="C164" s="51"/>
      <x:c r="D164" s="11" t="str">
        <x:f>IF(C164="","",_xlfn.IFNA(INDEX(Products[Товар],MATCH(C164,Products[SKU],0)),"Нет SKU"))</x:f>
      </x:c>
      <x:c r="E164" s="51"/>
      <x:c r="F164" s="55"/>
      <x:c r="G164" s="55"/>
      <x:c r="H164" s="16" t="str">
        <x:f>IF(C164="","",IF(S164="Выкуплен",E164*(F164-G164),0))</x:f>
      </x:c>
      <x:c r="I164" s="55"/>
      <x:c r="J164" s="16" t="str">
        <x:f>IF(C164="","",IF(S164="Выкуплен",E164*I164,IF(S164="Возврат",MAX(0,E164-U164)*I164,0)))</x:f>
      </x:c>
      <x:c r="K164" s="55"/>
      <x:c r="L164" s="55"/>
      <x:c r="M164" s="55"/>
      <x:c r="N164" s="55"/>
      <x:c r="O164" s="55"/>
      <x:c r="P164" s="16" t="str">
        <x:f>IF(C164="","",H164-J164-SUM(K164:O164))</x:f>
      </x:c>
      <x:c r="Q164" s="17" t="str">
        <x:f>IF(C164="","",IF(H164=0,"",P164/H164))</x:f>
      </x:c>
      <x:c r="R164" s="17" t="str">
        <x:f>IF(C164="","",IF(J164=0,"",(H164-J164)/J164))</x:f>
      </x:c>
      <x:c r="S164" s="51"/>
      <x:c r="T164" s="51"/>
      <x:c r="U164" s="51"/>
      <x:c r="V164" s="11" t="str">
        <x:f>IF(C164="","",IF(OR(S164="Выкуплен",S164="Возврат"),E164,0))</x:f>
      </x:c>
      <x:c r="W164" s="11" t="str">
        <x:f>IF(C164="","",IF(B164="",0,IF(COUNTIFS($B$5:B164,B164)=1,1,0)))</x:f>
      </x:c>
      <x:c r="X164" s="11" t="str">
        <x:f>IF(C164="","",IF(S164="Выкуплен",W164,0))</x:f>
      </x:c>
      <x:c r="Y164" s="11" t="str">
        <x:f>IF(C164="","",IF(S164="Отменён",W164,0))</x:f>
      </x:c>
      <x:c r="Z164" s="11" t="str">
        <x:f>IF(C164="","",IF(S164="Возврат",W164,0))</x:f>
      </x:c>
      <x:c r="AA164" s="11" t="str">
        <x:f>IF(C164="","",IF(S164="Выкуплен",E164,0))</x:f>
      </x:c>
    </x:row>
    <x:row r="165" ht="23" customHeight="1">
      <x:c r="A165" s="54"/>
      <x:c r="B165" s="51"/>
      <x:c r="C165" s="51"/>
      <x:c r="D165" s="11" t="str">
        <x:f>IF(C165="","",_xlfn.IFNA(INDEX(Products[Товар],MATCH(C165,Products[SKU],0)),"Нет SKU"))</x:f>
      </x:c>
      <x:c r="E165" s="51"/>
      <x:c r="F165" s="55"/>
      <x:c r="G165" s="55"/>
      <x:c r="H165" s="16" t="str">
        <x:f>IF(C165="","",IF(S165="Выкуплен",E165*(F165-G165),0))</x:f>
      </x:c>
      <x:c r="I165" s="55"/>
      <x:c r="J165" s="16" t="str">
        <x:f>IF(C165="","",IF(S165="Выкуплен",E165*I165,IF(S165="Возврат",MAX(0,E165-U165)*I165,0)))</x:f>
      </x:c>
      <x:c r="K165" s="55"/>
      <x:c r="L165" s="55"/>
      <x:c r="M165" s="55"/>
      <x:c r="N165" s="55"/>
      <x:c r="O165" s="55"/>
      <x:c r="P165" s="16" t="str">
        <x:f>IF(C165="","",H165-J165-SUM(K165:O165))</x:f>
      </x:c>
      <x:c r="Q165" s="17" t="str">
        <x:f>IF(C165="","",IF(H165=0,"",P165/H165))</x:f>
      </x:c>
      <x:c r="R165" s="17" t="str">
        <x:f>IF(C165="","",IF(J165=0,"",(H165-J165)/J165))</x:f>
      </x:c>
      <x:c r="S165" s="51"/>
      <x:c r="T165" s="51"/>
      <x:c r="U165" s="51"/>
      <x:c r="V165" s="11" t="str">
        <x:f>IF(C165="","",IF(OR(S165="Выкуплен",S165="Возврат"),E165,0))</x:f>
      </x:c>
      <x:c r="W165" s="11" t="str">
        <x:f>IF(C165="","",IF(B165="",0,IF(COUNTIFS($B$5:B165,B165)=1,1,0)))</x:f>
      </x:c>
      <x:c r="X165" s="11" t="str">
        <x:f>IF(C165="","",IF(S165="Выкуплен",W165,0))</x:f>
      </x:c>
      <x:c r="Y165" s="11" t="str">
        <x:f>IF(C165="","",IF(S165="Отменён",W165,0))</x:f>
      </x:c>
      <x:c r="Z165" s="11" t="str">
        <x:f>IF(C165="","",IF(S165="Возврат",W165,0))</x:f>
      </x:c>
      <x:c r="AA165" s="11" t="str">
        <x:f>IF(C165="","",IF(S165="Выкуплен",E165,0))</x:f>
      </x:c>
    </x:row>
    <x:row r="166" ht="23" customHeight="1">
      <x:c r="A166" s="54"/>
      <x:c r="B166" s="51"/>
      <x:c r="C166" s="51"/>
      <x:c r="D166" s="11" t="str">
        <x:f>IF(C166="","",_xlfn.IFNA(INDEX(Products[Товар],MATCH(C166,Products[SKU],0)),"Нет SKU"))</x:f>
      </x:c>
      <x:c r="E166" s="51"/>
      <x:c r="F166" s="55"/>
      <x:c r="G166" s="55"/>
      <x:c r="H166" s="16" t="str">
        <x:f>IF(C166="","",IF(S166="Выкуплен",E166*(F166-G166),0))</x:f>
      </x:c>
      <x:c r="I166" s="55"/>
      <x:c r="J166" s="16" t="str">
        <x:f>IF(C166="","",IF(S166="Выкуплен",E166*I166,IF(S166="Возврат",MAX(0,E166-U166)*I166,0)))</x:f>
      </x:c>
      <x:c r="K166" s="55"/>
      <x:c r="L166" s="55"/>
      <x:c r="M166" s="55"/>
      <x:c r="N166" s="55"/>
      <x:c r="O166" s="55"/>
      <x:c r="P166" s="16" t="str">
        <x:f>IF(C166="","",H166-J166-SUM(K166:O166))</x:f>
      </x:c>
      <x:c r="Q166" s="17" t="str">
        <x:f>IF(C166="","",IF(H166=0,"",P166/H166))</x:f>
      </x:c>
      <x:c r="R166" s="17" t="str">
        <x:f>IF(C166="","",IF(J166=0,"",(H166-J166)/J166))</x:f>
      </x:c>
      <x:c r="S166" s="51"/>
      <x:c r="T166" s="51"/>
      <x:c r="U166" s="51"/>
      <x:c r="V166" s="11" t="str">
        <x:f>IF(C166="","",IF(OR(S166="Выкуплен",S166="Возврат"),E166,0))</x:f>
      </x:c>
      <x:c r="W166" s="11" t="str">
        <x:f>IF(C166="","",IF(B166="",0,IF(COUNTIFS($B$5:B166,B166)=1,1,0)))</x:f>
      </x:c>
      <x:c r="X166" s="11" t="str">
        <x:f>IF(C166="","",IF(S166="Выкуплен",W166,0))</x:f>
      </x:c>
      <x:c r="Y166" s="11" t="str">
        <x:f>IF(C166="","",IF(S166="Отменён",W166,0))</x:f>
      </x:c>
      <x:c r="Z166" s="11" t="str">
        <x:f>IF(C166="","",IF(S166="Возврат",W166,0))</x:f>
      </x:c>
      <x:c r="AA166" s="11" t="str">
        <x:f>IF(C166="","",IF(S166="Выкуплен",E166,0))</x:f>
      </x:c>
    </x:row>
    <x:row r="167" ht="23" customHeight="1">
      <x:c r="A167" s="54"/>
      <x:c r="B167" s="51"/>
      <x:c r="C167" s="51"/>
      <x:c r="D167" s="11" t="str">
        <x:f>IF(C167="","",_xlfn.IFNA(INDEX(Products[Товар],MATCH(C167,Products[SKU],0)),"Нет SKU"))</x:f>
      </x:c>
      <x:c r="E167" s="51"/>
      <x:c r="F167" s="55"/>
      <x:c r="G167" s="55"/>
      <x:c r="H167" s="16" t="str">
        <x:f>IF(C167="","",IF(S167="Выкуплен",E167*(F167-G167),0))</x:f>
      </x:c>
      <x:c r="I167" s="55"/>
      <x:c r="J167" s="16" t="str">
        <x:f>IF(C167="","",IF(S167="Выкуплен",E167*I167,IF(S167="Возврат",MAX(0,E167-U167)*I167,0)))</x:f>
      </x:c>
      <x:c r="K167" s="55"/>
      <x:c r="L167" s="55"/>
      <x:c r="M167" s="55"/>
      <x:c r="N167" s="55"/>
      <x:c r="O167" s="55"/>
      <x:c r="P167" s="16" t="str">
        <x:f>IF(C167="","",H167-J167-SUM(K167:O167))</x:f>
      </x:c>
      <x:c r="Q167" s="17" t="str">
        <x:f>IF(C167="","",IF(H167=0,"",P167/H167))</x:f>
      </x:c>
      <x:c r="R167" s="17" t="str">
        <x:f>IF(C167="","",IF(J167=0,"",(H167-J167)/J167))</x:f>
      </x:c>
      <x:c r="S167" s="51"/>
      <x:c r="T167" s="51"/>
      <x:c r="U167" s="51"/>
      <x:c r="V167" s="11" t="str">
        <x:f>IF(C167="","",IF(OR(S167="Выкуплен",S167="Возврат"),E167,0))</x:f>
      </x:c>
      <x:c r="W167" s="11" t="str">
        <x:f>IF(C167="","",IF(B167="",0,IF(COUNTIFS($B$5:B167,B167)=1,1,0)))</x:f>
      </x:c>
      <x:c r="X167" s="11" t="str">
        <x:f>IF(C167="","",IF(S167="Выкуплен",W167,0))</x:f>
      </x:c>
      <x:c r="Y167" s="11" t="str">
        <x:f>IF(C167="","",IF(S167="Отменён",W167,0))</x:f>
      </x:c>
      <x:c r="Z167" s="11" t="str">
        <x:f>IF(C167="","",IF(S167="Возврат",W167,0))</x:f>
      </x:c>
      <x:c r="AA167" s="11" t="str">
        <x:f>IF(C167="","",IF(S167="Выкуплен",E167,0))</x:f>
      </x:c>
    </x:row>
    <x:row r="168" ht="23" customHeight="1">
      <x:c r="A168" s="54"/>
      <x:c r="B168" s="51"/>
      <x:c r="C168" s="51"/>
      <x:c r="D168" s="11" t="str">
        <x:f>IF(C168="","",_xlfn.IFNA(INDEX(Products[Товар],MATCH(C168,Products[SKU],0)),"Нет SKU"))</x:f>
      </x:c>
      <x:c r="E168" s="51"/>
      <x:c r="F168" s="55"/>
      <x:c r="G168" s="55"/>
      <x:c r="H168" s="16" t="str">
        <x:f>IF(C168="","",IF(S168="Выкуплен",E168*(F168-G168),0))</x:f>
      </x:c>
      <x:c r="I168" s="55"/>
      <x:c r="J168" s="16" t="str">
        <x:f>IF(C168="","",IF(S168="Выкуплен",E168*I168,IF(S168="Возврат",MAX(0,E168-U168)*I168,0)))</x:f>
      </x:c>
      <x:c r="K168" s="55"/>
      <x:c r="L168" s="55"/>
      <x:c r="M168" s="55"/>
      <x:c r="N168" s="55"/>
      <x:c r="O168" s="55"/>
      <x:c r="P168" s="16" t="str">
        <x:f>IF(C168="","",H168-J168-SUM(K168:O168))</x:f>
      </x:c>
      <x:c r="Q168" s="17" t="str">
        <x:f>IF(C168="","",IF(H168=0,"",P168/H168))</x:f>
      </x:c>
      <x:c r="R168" s="17" t="str">
        <x:f>IF(C168="","",IF(J168=0,"",(H168-J168)/J168))</x:f>
      </x:c>
      <x:c r="S168" s="51"/>
      <x:c r="T168" s="51"/>
      <x:c r="U168" s="51"/>
      <x:c r="V168" s="11" t="str">
        <x:f>IF(C168="","",IF(OR(S168="Выкуплен",S168="Возврат"),E168,0))</x:f>
      </x:c>
      <x:c r="W168" s="11" t="str">
        <x:f>IF(C168="","",IF(B168="",0,IF(COUNTIFS($B$5:B168,B168)=1,1,0)))</x:f>
      </x:c>
      <x:c r="X168" s="11" t="str">
        <x:f>IF(C168="","",IF(S168="Выкуплен",W168,0))</x:f>
      </x:c>
      <x:c r="Y168" s="11" t="str">
        <x:f>IF(C168="","",IF(S168="Отменён",W168,0))</x:f>
      </x:c>
      <x:c r="Z168" s="11" t="str">
        <x:f>IF(C168="","",IF(S168="Возврат",W168,0))</x:f>
      </x:c>
      <x:c r="AA168" s="11" t="str">
        <x:f>IF(C168="","",IF(S168="Выкуплен",E168,0))</x:f>
      </x:c>
    </x:row>
    <x:row r="169" ht="23" customHeight="1">
      <x:c r="A169" s="54"/>
      <x:c r="B169" s="51"/>
      <x:c r="C169" s="51"/>
      <x:c r="D169" s="11" t="str">
        <x:f>IF(C169="","",_xlfn.IFNA(INDEX(Products[Товар],MATCH(C169,Products[SKU],0)),"Нет SKU"))</x:f>
      </x:c>
      <x:c r="E169" s="51"/>
      <x:c r="F169" s="55"/>
      <x:c r="G169" s="55"/>
      <x:c r="H169" s="16" t="str">
        <x:f>IF(C169="","",IF(S169="Выкуплен",E169*(F169-G169),0))</x:f>
      </x:c>
      <x:c r="I169" s="55"/>
      <x:c r="J169" s="16" t="str">
        <x:f>IF(C169="","",IF(S169="Выкуплен",E169*I169,IF(S169="Возврат",MAX(0,E169-U169)*I169,0)))</x:f>
      </x:c>
      <x:c r="K169" s="55"/>
      <x:c r="L169" s="55"/>
      <x:c r="M169" s="55"/>
      <x:c r="N169" s="55"/>
      <x:c r="O169" s="55"/>
      <x:c r="P169" s="16" t="str">
        <x:f>IF(C169="","",H169-J169-SUM(K169:O169))</x:f>
      </x:c>
      <x:c r="Q169" s="17" t="str">
        <x:f>IF(C169="","",IF(H169=0,"",P169/H169))</x:f>
      </x:c>
      <x:c r="R169" s="17" t="str">
        <x:f>IF(C169="","",IF(J169=0,"",(H169-J169)/J169))</x:f>
      </x:c>
      <x:c r="S169" s="51"/>
      <x:c r="T169" s="51"/>
      <x:c r="U169" s="51"/>
      <x:c r="V169" s="11" t="str">
        <x:f>IF(C169="","",IF(OR(S169="Выкуплен",S169="Возврат"),E169,0))</x:f>
      </x:c>
      <x:c r="W169" s="11" t="str">
        <x:f>IF(C169="","",IF(B169="",0,IF(COUNTIFS($B$5:B169,B169)=1,1,0)))</x:f>
      </x:c>
      <x:c r="X169" s="11" t="str">
        <x:f>IF(C169="","",IF(S169="Выкуплен",W169,0))</x:f>
      </x:c>
      <x:c r="Y169" s="11" t="str">
        <x:f>IF(C169="","",IF(S169="Отменён",W169,0))</x:f>
      </x:c>
      <x:c r="Z169" s="11" t="str">
        <x:f>IF(C169="","",IF(S169="Возврат",W169,0))</x:f>
      </x:c>
      <x:c r="AA169" s="11" t="str">
        <x:f>IF(C169="","",IF(S169="Выкуплен",E169,0))</x:f>
      </x:c>
    </x:row>
    <x:row r="170" ht="23" customHeight="1">
      <x:c r="A170" s="54"/>
      <x:c r="B170" s="51"/>
      <x:c r="C170" s="51"/>
      <x:c r="D170" s="11" t="str">
        <x:f>IF(C170="","",_xlfn.IFNA(INDEX(Products[Товар],MATCH(C170,Products[SKU],0)),"Нет SKU"))</x:f>
      </x:c>
      <x:c r="E170" s="51"/>
      <x:c r="F170" s="55"/>
      <x:c r="G170" s="55"/>
      <x:c r="H170" s="16" t="str">
        <x:f>IF(C170="","",IF(S170="Выкуплен",E170*(F170-G170),0))</x:f>
      </x:c>
      <x:c r="I170" s="55"/>
      <x:c r="J170" s="16" t="str">
        <x:f>IF(C170="","",IF(S170="Выкуплен",E170*I170,IF(S170="Возврат",MAX(0,E170-U170)*I170,0)))</x:f>
      </x:c>
      <x:c r="K170" s="55"/>
      <x:c r="L170" s="55"/>
      <x:c r="M170" s="55"/>
      <x:c r="N170" s="55"/>
      <x:c r="O170" s="55"/>
      <x:c r="P170" s="16" t="str">
        <x:f>IF(C170="","",H170-J170-SUM(K170:O170))</x:f>
      </x:c>
      <x:c r="Q170" s="17" t="str">
        <x:f>IF(C170="","",IF(H170=0,"",P170/H170))</x:f>
      </x:c>
      <x:c r="R170" s="17" t="str">
        <x:f>IF(C170="","",IF(J170=0,"",(H170-J170)/J170))</x:f>
      </x:c>
      <x:c r="S170" s="51"/>
      <x:c r="T170" s="51"/>
      <x:c r="U170" s="51"/>
      <x:c r="V170" s="11" t="str">
        <x:f>IF(C170="","",IF(OR(S170="Выкуплен",S170="Возврат"),E170,0))</x:f>
      </x:c>
      <x:c r="W170" s="11" t="str">
        <x:f>IF(C170="","",IF(B170="",0,IF(COUNTIFS($B$5:B170,B170)=1,1,0)))</x:f>
      </x:c>
      <x:c r="X170" s="11" t="str">
        <x:f>IF(C170="","",IF(S170="Выкуплен",W170,0))</x:f>
      </x:c>
      <x:c r="Y170" s="11" t="str">
        <x:f>IF(C170="","",IF(S170="Отменён",W170,0))</x:f>
      </x:c>
      <x:c r="Z170" s="11" t="str">
        <x:f>IF(C170="","",IF(S170="Возврат",W170,0))</x:f>
      </x:c>
      <x:c r="AA170" s="11" t="str">
        <x:f>IF(C170="","",IF(S170="Выкуплен",E170,0))</x:f>
      </x:c>
    </x:row>
    <x:row r="171" ht="23" customHeight="1">
      <x:c r="A171" s="54"/>
      <x:c r="B171" s="51"/>
      <x:c r="C171" s="51"/>
      <x:c r="D171" s="11" t="str">
        <x:f>IF(C171="","",_xlfn.IFNA(INDEX(Products[Товар],MATCH(C171,Products[SKU],0)),"Нет SKU"))</x:f>
      </x:c>
      <x:c r="E171" s="51"/>
      <x:c r="F171" s="55"/>
      <x:c r="G171" s="55"/>
      <x:c r="H171" s="16" t="str">
        <x:f>IF(C171="","",IF(S171="Выкуплен",E171*(F171-G171),0))</x:f>
      </x:c>
      <x:c r="I171" s="55"/>
      <x:c r="J171" s="16" t="str">
        <x:f>IF(C171="","",IF(S171="Выкуплен",E171*I171,IF(S171="Возврат",MAX(0,E171-U171)*I171,0)))</x:f>
      </x:c>
      <x:c r="K171" s="55"/>
      <x:c r="L171" s="55"/>
      <x:c r="M171" s="55"/>
      <x:c r="N171" s="55"/>
      <x:c r="O171" s="55"/>
      <x:c r="P171" s="16" t="str">
        <x:f>IF(C171="","",H171-J171-SUM(K171:O171))</x:f>
      </x:c>
      <x:c r="Q171" s="17" t="str">
        <x:f>IF(C171="","",IF(H171=0,"",P171/H171))</x:f>
      </x:c>
      <x:c r="R171" s="17" t="str">
        <x:f>IF(C171="","",IF(J171=0,"",(H171-J171)/J171))</x:f>
      </x:c>
      <x:c r="S171" s="51"/>
      <x:c r="T171" s="51"/>
      <x:c r="U171" s="51"/>
      <x:c r="V171" s="11" t="str">
        <x:f>IF(C171="","",IF(OR(S171="Выкуплен",S171="Возврат"),E171,0))</x:f>
      </x:c>
      <x:c r="W171" s="11" t="str">
        <x:f>IF(C171="","",IF(B171="",0,IF(COUNTIFS($B$5:B171,B171)=1,1,0)))</x:f>
      </x:c>
      <x:c r="X171" s="11" t="str">
        <x:f>IF(C171="","",IF(S171="Выкуплен",W171,0))</x:f>
      </x:c>
      <x:c r="Y171" s="11" t="str">
        <x:f>IF(C171="","",IF(S171="Отменён",W171,0))</x:f>
      </x:c>
      <x:c r="Z171" s="11" t="str">
        <x:f>IF(C171="","",IF(S171="Возврат",W171,0))</x:f>
      </x:c>
      <x:c r="AA171" s="11" t="str">
        <x:f>IF(C171="","",IF(S171="Выкуплен",E171,0))</x:f>
      </x:c>
    </x:row>
    <x:row r="172" ht="23" customHeight="1">
      <x:c r="A172" s="54"/>
      <x:c r="B172" s="51"/>
      <x:c r="C172" s="51"/>
      <x:c r="D172" s="11" t="str">
        <x:f>IF(C172="","",_xlfn.IFNA(INDEX(Products[Товар],MATCH(C172,Products[SKU],0)),"Нет SKU"))</x:f>
      </x:c>
      <x:c r="E172" s="51"/>
      <x:c r="F172" s="55"/>
      <x:c r="G172" s="55"/>
      <x:c r="H172" s="16" t="str">
        <x:f>IF(C172="","",IF(S172="Выкуплен",E172*(F172-G172),0))</x:f>
      </x:c>
      <x:c r="I172" s="55"/>
      <x:c r="J172" s="16" t="str">
        <x:f>IF(C172="","",IF(S172="Выкуплен",E172*I172,IF(S172="Возврат",MAX(0,E172-U172)*I172,0)))</x:f>
      </x:c>
      <x:c r="K172" s="55"/>
      <x:c r="L172" s="55"/>
      <x:c r="M172" s="55"/>
      <x:c r="N172" s="55"/>
      <x:c r="O172" s="55"/>
      <x:c r="P172" s="16" t="str">
        <x:f>IF(C172="","",H172-J172-SUM(K172:O172))</x:f>
      </x:c>
      <x:c r="Q172" s="17" t="str">
        <x:f>IF(C172="","",IF(H172=0,"",P172/H172))</x:f>
      </x:c>
      <x:c r="R172" s="17" t="str">
        <x:f>IF(C172="","",IF(J172=0,"",(H172-J172)/J172))</x:f>
      </x:c>
      <x:c r="S172" s="51"/>
      <x:c r="T172" s="51"/>
      <x:c r="U172" s="51"/>
      <x:c r="V172" s="11" t="str">
        <x:f>IF(C172="","",IF(OR(S172="Выкуплен",S172="Возврат"),E172,0))</x:f>
      </x:c>
      <x:c r="W172" s="11" t="str">
        <x:f>IF(C172="","",IF(B172="",0,IF(COUNTIFS($B$5:B172,B172)=1,1,0)))</x:f>
      </x:c>
      <x:c r="X172" s="11" t="str">
        <x:f>IF(C172="","",IF(S172="Выкуплен",W172,0))</x:f>
      </x:c>
      <x:c r="Y172" s="11" t="str">
        <x:f>IF(C172="","",IF(S172="Отменён",W172,0))</x:f>
      </x:c>
      <x:c r="Z172" s="11" t="str">
        <x:f>IF(C172="","",IF(S172="Возврат",W172,0))</x:f>
      </x:c>
      <x:c r="AA172" s="11" t="str">
        <x:f>IF(C172="","",IF(S172="Выкуплен",E172,0))</x:f>
      </x:c>
    </x:row>
    <x:row r="173" ht="23" customHeight="1">
      <x:c r="A173" s="54"/>
      <x:c r="B173" s="51"/>
      <x:c r="C173" s="51"/>
      <x:c r="D173" s="11" t="str">
        <x:f>IF(C173="","",_xlfn.IFNA(INDEX(Products[Товар],MATCH(C173,Products[SKU],0)),"Нет SKU"))</x:f>
      </x:c>
      <x:c r="E173" s="51"/>
      <x:c r="F173" s="55"/>
      <x:c r="G173" s="55"/>
      <x:c r="H173" s="16" t="str">
        <x:f>IF(C173="","",IF(S173="Выкуплен",E173*(F173-G173),0))</x:f>
      </x:c>
      <x:c r="I173" s="55"/>
      <x:c r="J173" s="16" t="str">
        <x:f>IF(C173="","",IF(S173="Выкуплен",E173*I173,IF(S173="Возврат",MAX(0,E173-U173)*I173,0)))</x:f>
      </x:c>
      <x:c r="K173" s="55"/>
      <x:c r="L173" s="55"/>
      <x:c r="M173" s="55"/>
      <x:c r="N173" s="55"/>
      <x:c r="O173" s="55"/>
      <x:c r="P173" s="16" t="str">
        <x:f>IF(C173="","",H173-J173-SUM(K173:O173))</x:f>
      </x:c>
      <x:c r="Q173" s="17" t="str">
        <x:f>IF(C173="","",IF(H173=0,"",P173/H173))</x:f>
      </x:c>
      <x:c r="R173" s="17" t="str">
        <x:f>IF(C173="","",IF(J173=0,"",(H173-J173)/J173))</x:f>
      </x:c>
      <x:c r="S173" s="51"/>
      <x:c r="T173" s="51"/>
      <x:c r="U173" s="51"/>
      <x:c r="V173" s="11" t="str">
        <x:f>IF(C173="","",IF(OR(S173="Выкуплен",S173="Возврат"),E173,0))</x:f>
      </x:c>
      <x:c r="W173" s="11" t="str">
        <x:f>IF(C173="","",IF(B173="",0,IF(COUNTIFS($B$5:B173,B173)=1,1,0)))</x:f>
      </x:c>
      <x:c r="X173" s="11" t="str">
        <x:f>IF(C173="","",IF(S173="Выкуплен",W173,0))</x:f>
      </x:c>
      <x:c r="Y173" s="11" t="str">
        <x:f>IF(C173="","",IF(S173="Отменён",W173,0))</x:f>
      </x:c>
      <x:c r="Z173" s="11" t="str">
        <x:f>IF(C173="","",IF(S173="Возврат",W173,0))</x:f>
      </x:c>
      <x:c r="AA173" s="11" t="str">
        <x:f>IF(C173="","",IF(S173="Выкуплен",E173,0))</x:f>
      </x:c>
    </x:row>
    <x:row r="174" ht="23" customHeight="1">
      <x:c r="A174" s="54"/>
      <x:c r="B174" s="51"/>
      <x:c r="C174" s="51"/>
      <x:c r="D174" s="11" t="str">
        <x:f>IF(C174="","",_xlfn.IFNA(INDEX(Products[Товар],MATCH(C174,Products[SKU],0)),"Нет SKU"))</x:f>
      </x:c>
      <x:c r="E174" s="51"/>
      <x:c r="F174" s="55"/>
      <x:c r="G174" s="55"/>
      <x:c r="H174" s="16" t="str">
        <x:f>IF(C174="","",IF(S174="Выкуплен",E174*(F174-G174),0))</x:f>
      </x:c>
      <x:c r="I174" s="55"/>
      <x:c r="J174" s="16" t="str">
        <x:f>IF(C174="","",IF(S174="Выкуплен",E174*I174,IF(S174="Возврат",MAX(0,E174-U174)*I174,0)))</x:f>
      </x:c>
      <x:c r="K174" s="55"/>
      <x:c r="L174" s="55"/>
      <x:c r="M174" s="55"/>
      <x:c r="N174" s="55"/>
      <x:c r="O174" s="55"/>
      <x:c r="P174" s="16" t="str">
        <x:f>IF(C174="","",H174-J174-SUM(K174:O174))</x:f>
      </x:c>
      <x:c r="Q174" s="17" t="str">
        <x:f>IF(C174="","",IF(H174=0,"",P174/H174))</x:f>
      </x:c>
      <x:c r="R174" s="17" t="str">
        <x:f>IF(C174="","",IF(J174=0,"",(H174-J174)/J174))</x:f>
      </x:c>
      <x:c r="S174" s="51"/>
      <x:c r="T174" s="51"/>
      <x:c r="U174" s="51"/>
      <x:c r="V174" s="11" t="str">
        <x:f>IF(C174="","",IF(OR(S174="Выкуплен",S174="Возврат"),E174,0))</x:f>
      </x:c>
      <x:c r="W174" s="11" t="str">
        <x:f>IF(C174="","",IF(B174="",0,IF(COUNTIFS($B$5:B174,B174)=1,1,0)))</x:f>
      </x:c>
      <x:c r="X174" s="11" t="str">
        <x:f>IF(C174="","",IF(S174="Выкуплен",W174,0))</x:f>
      </x:c>
      <x:c r="Y174" s="11" t="str">
        <x:f>IF(C174="","",IF(S174="Отменён",W174,0))</x:f>
      </x:c>
      <x:c r="Z174" s="11" t="str">
        <x:f>IF(C174="","",IF(S174="Возврат",W174,0))</x:f>
      </x:c>
      <x:c r="AA174" s="11" t="str">
        <x:f>IF(C174="","",IF(S174="Выкуплен",E174,0))</x:f>
      </x:c>
    </x:row>
    <x:row r="175" ht="23" customHeight="1">
      <x:c r="A175" s="54"/>
      <x:c r="B175" s="51"/>
      <x:c r="C175" s="51"/>
      <x:c r="D175" s="11" t="str">
        <x:f>IF(C175="","",_xlfn.IFNA(INDEX(Products[Товар],MATCH(C175,Products[SKU],0)),"Нет SKU"))</x:f>
      </x:c>
      <x:c r="E175" s="51"/>
      <x:c r="F175" s="55"/>
      <x:c r="G175" s="55"/>
      <x:c r="H175" s="16" t="str">
        <x:f>IF(C175="","",IF(S175="Выкуплен",E175*(F175-G175),0))</x:f>
      </x:c>
      <x:c r="I175" s="55"/>
      <x:c r="J175" s="16" t="str">
        <x:f>IF(C175="","",IF(S175="Выкуплен",E175*I175,IF(S175="Возврат",MAX(0,E175-U175)*I175,0)))</x:f>
      </x:c>
      <x:c r="K175" s="55"/>
      <x:c r="L175" s="55"/>
      <x:c r="M175" s="55"/>
      <x:c r="N175" s="55"/>
      <x:c r="O175" s="55"/>
      <x:c r="P175" s="16" t="str">
        <x:f>IF(C175="","",H175-J175-SUM(K175:O175))</x:f>
      </x:c>
      <x:c r="Q175" s="17" t="str">
        <x:f>IF(C175="","",IF(H175=0,"",P175/H175))</x:f>
      </x:c>
      <x:c r="R175" s="17" t="str">
        <x:f>IF(C175="","",IF(J175=0,"",(H175-J175)/J175))</x:f>
      </x:c>
      <x:c r="S175" s="51"/>
      <x:c r="T175" s="51"/>
      <x:c r="U175" s="51"/>
      <x:c r="V175" s="11" t="str">
        <x:f>IF(C175="","",IF(OR(S175="Выкуплен",S175="Возврат"),E175,0))</x:f>
      </x:c>
      <x:c r="W175" s="11" t="str">
        <x:f>IF(C175="","",IF(B175="",0,IF(COUNTIFS($B$5:B175,B175)=1,1,0)))</x:f>
      </x:c>
      <x:c r="X175" s="11" t="str">
        <x:f>IF(C175="","",IF(S175="Выкуплен",W175,0))</x:f>
      </x:c>
      <x:c r="Y175" s="11" t="str">
        <x:f>IF(C175="","",IF(S175="Отменён",W175,0))</x:f>
      </x:c>
      <x:c r="Z175" s="11" t="str">
        <x:f>IF(C175="","",IF(S175="Возврат",W175,0))</x:f>
      </x:c>
      <x:c r="AA175" s="11" t="str">
        <x:f>IF(C175="","",IF(S175="Выкуплен",E175,0))</x:f>
      </x:c>
    </x:row>
    <x:row r="176" ht="23" customHeight="1">
      <x:c r="A176" s="54"/>
      <x:c r="B176" s="51"/>
      <x:c r="C176" s="51"/>
      <x:c r="D176" s="11" t="str">
        <x:f>IF(C176="","",_xlfn.IFNA(INDEX(Products[Товар],MATCH(C176,Products[SKU],0)),"Нет SKU"))</x:f>
      </x:c>
      <x:c r="E176" s="51"/>
      <x:c r="F176" s="55"/>
      <x:c r="G176" s="55"/>
      <x:c r="H176" s="16" t="str">
        <x:f>IF(C176="","",IF(S176="Выкуплен",E176*(F176-G176),0))</x:f>
      </x:c>
      <x:c r="I176" s="55"/>
      <x:c r="J176" s="16" t="str">
        <x:f>IF(C176="","",IF(S176="Выкуплен",E176*I176,IF(S176="Возврат",MAX(0,E176-U176)*I176,0)))</x:f>
      </x:c>
      <x:c r="K176" s="55"/>
      <x:c r="L176" s="55"/>
      <x:c r="M176" s="55"/>
      <x:c r="N176" s="55"/>
      <x:c r="O176" s="55"/>
      <x:c r="P176" s="16" t="str">
        <x:f>IF(C176="","",H176-J176-SUM(K176:O176))</x:f>
      </x:c>
      <x:c r="Q176" s="17" t="str">
        <x:f>IF(C176="","",IF(H176=0,"",P176/H176))</x:f>
      </x:c>
      <x:c r="R176" s="17" t="str">
        <x:f>IF(C176="","",IF(J176=0,"",(H176-J176)/J176))</x:f>
      </x:c>
      <x:c r="S176" s="51"/>
      <x:c r="T176" s="51"/>
      <x:c r="U176" s="51"/>
      <x:c r="V176" s="11" t="str">
        <x:f>IF(C176="","",IF(OR(S176="Выкуплен",S176="Возврат"),E176,0))</x:f>
      </x:c>
      <x:c r="W176" s="11" t="str">
        <x:f>IF(C176="","",IF(B176="",0,IF(COUNTIFS($B$5:B176,B176)=1,1,0)))</x:f>
      </x:c>
      <x:c r="X176" s="11" t="str">
        <x:f>IF(C176="","",IF(S176="Выкуплен",W176,0))</x:f>
      </x:c>
      <x:c r="Y176" s="11" t="str">
        <x:f>IF(C176="","",IF(S176="Отменён",W176,0))</x:f>
      </x:c>
      <x:c r="Z176" s="11" t="str">
        <x:f>IF(C176="","",IF(S176="Возврат",W176,0))</x:f>
      </x:c>
      <x:c r="AA176" s="11" t="str">
        <x:f>IF(C176="","",IF(S176="Выкуплен",E176,0))</x:f>
      </x:c>
    </x:row>
    <x:row r="177" ht="23" customHeight="1">
      <x:c r="A177" s="54"/>
      <x:c r="B177" s="51"/>
      <x:c r="C177" s="51"/>
      <x:c r="D177" s="11" t="str">
        <x:f>IF(C177="","",_xlfn.IFNA(INDEX(Products[Товар],MATCH(C177,Products[SKU],0)),"Нет SKU"))</x:f>
      </x:c>
      <x:c r="E177" s="51"/>
      <x:c r="F177" s="55"/>
      <x:c r="G177" s="55"/>
      <x:c r="H177" s="16" t="str">
        <x:f>IF(C177="","",IF(S177="Выкуплен",E177*(F177-G177),0))</x:f>
      </x:c>
      <x:c r="I177" s="55"/>
      <x:c r="J177" s="16" t="str">
        <x:f>IF(C177="","",IF(S177="Выкуплен",E177*I177,IF(S177="Возврат",MAX(0,E177-U177)*I177,0)))</x:f>
      </x:c>
      <x:c r="K177" s="55"/>
      <x:c r="L177" s="55"/>
      <x:c r="M177" s="55"/>
      <x:c r="N177" s="55"/>
      <x:c r="O177" s="55"/>
      <x:c r="P177" s="16" t="str">
        <x:f>IF(C177="","",H177-J177-SUM(K177:O177))</x:f>
      </x:c>
      <x:c r="Q177" s="17" t="str">
        <x:f>IF(C177="","",IF(H177=0,"",P177/H177))</x:f>
      </x:c>
      <x:c r="R177" s="17" t="str">
        <x:f>IF(C177="","",IF(J177=0,"",(H177-J177)/J177))</x:f>
      </x:c>
      <x:c r="S177" s="51"/>
      <x:c r="T177" s="51"/>
      <x:c r="U177" s="51"/>
      <x:c r="V177" s="11" t="str">
        <x:f>IF(C177="","",IF(OR(S177="Выкуплен",S177="Возврат"),E177,0))</x:f>
      </x:c>
      <x:c r="W177" s="11" t="str">
        <x:f>IF(C177="","",IF(B177="",0,IF(COUNTIFS($B$5:B177,B177)=1,1,0)))</x:f>
      </x:c>
      <x:c r="X177" s="11" t="str">
        <x:f>IF(C177="","",IF(S177="Выкуплен",W177,0))</x:f>
      </x:c>
      <x:c r="Y177" s="11" t="str">
        <x:f>IF(C177="","",IF(S177="Отменён",W177,0))</x:f>
      </x:c>
      <x:c r="Z177" s="11" t="str">
        <x:f>IF(C177="","",IF(S177="Возврат",W177,0))</x:f>
      </x:c>
      <x:c r="AA177" s="11" t="str">
        <x:f>IF(C177="","",IF(S177="Выкуплен",E177,0))</x:f>
      </x:c>
    </x:row>
    <x:row r="178" ht="23" customHeight="1">
      <x:c r="A178" s="54"/>
      <x:c r="B178" s="51"/>
      <x:c r="C178" s="51"/>
      <x:c r="D178" s="11" t="str">
        <x:f>IF(C178="","",_xlfn.IFNA(INDEX(Products[Товар],MATCH(C178,Products[SKU],0)),"Нет SKU"))</x:f>
      </x:c>
      <x:c r="E178" s="51"/>
      <x:c r="F178" s="55"/>
      <x:c r="G178" s="55"/>
      <x:c r="H178" s="16" t="str">
        <x:f>IF(C178="","",IF(S178="Выкуплен",E178*(F178-G178),0))</x:f>
      </x:c>
      <x:c r="I178" s="55"/>
      <x:c r="J178" s="16" t="str">
        <x:f>IF(C178="","",IF(S178="Выкуплен",E178*I178,IF(S178="Возврат",MAX(0,E178-U178)*I178,0)))</x:f>
      </x:c>
      <x:c r="K178" s="55"/>
      <x:c r="L178" s="55"/>
      <x:c r="M178" s="55"/>
      <x:c r="N178" s="55"/>
      <x:c r="O178" s="55"/>
      <x:c r="P178" s="16" t="str">
        <x:f>IF(C178="","",H178-J178-SUM(K178:O178))</x:f>
      </x:c>
      <x:c r="Q178" s="17" t="str">
        <x:f>IF(C178="","",IF(H178=0,"",P178/H178))</x:f>
      </x:c>
      <x:c r="R178" s="17" t="str">
        <x:f>IF(C178="","",IF(J178=0,"",(H178-J178)/J178))</x:f>
      </x:c>
      <x:c r="S178" s="51"/>
      <x:c r="T178" s="51"/>
      <x:c r="U178" s="51"/>
      <x:c r="V178" s="11" t="str">
        <x:f>IF(C178="","",IF(OR(S178="Выкуплен",S178="Возврат"),E178,0))</x:f>
      </x:c>
      <x:c r="W178" s="11" t="str">
        <x:f>IF(C178="","",IF(B178="",0,IF(COUNTIFS($B$5:B178,B178)=1,1,0)))</x:f>
      </x:c>
      <x:c r="X178" s="11" t="str">
        <x:f>IF(C178="","",IF(S178="Выкуплен",W178,0))</x:f>
      </x:c>
      <x:c r="Y178" s="11" t="str">
        <x:f>IF(C178="","",IF(S178="Отменён",W178,0))</x:f>
      </x:c>
      <x:c r="Z178" s="11" t="str">
        <x:f>IF(C178="","",IF(S178="Возврат",W178,0))</x:f>
      </x:c>
      <x:c r="AA178" s="11" t="str">
        <x:f>IF(C178="","",IF(S178="Выкуплен",E178,0))</x:f>
      </x:c>
    </x:row>
    <x:row r="179" ht="23" customHeight="1">
      <x:c r="A179" s="54"/>
      <x:c r="B179" s="51"/>
      <x:c r="C179" s="51"/>
      <x:c r="D179" s="11" t="str">
        <x:f>IF(C179="","",_xlfn.IFNA(INDEX(Products[Товар],MATCH(C179,Products[SKU],0)),"Нет SKU"))</x:f>
      </x:c>
      <x:c r="E179" s="51"/>
      <x:c r="F179" s="55"/>
      <x:c r="G179" s="55"/>
      <x:c r="H179" s="16" t="str">
        <x:f>IF(C179="","",IF(S179="Выкуплен",E179*(F179-G179),0))</x:f>
      </x:c>
      <x:c r="I179" s="55"/>
      <x:c r="J179" s="16" t="str">
        <x:f>IF(C179="","",IF(S179="Выкуплен",E179*I179,IF(S179="Возврат",MAX(0,E179-U179)*I179,0)))</x:f>
      </x:c>
      <x:c r="K179" s="55"/>
      <x:c r="L179" s="55"/>
      <x:c r="M179" s="55"/>
      <x:c r="N179" s="55"/>
      <x:c r="O179" s="55"/>
      <x:c r="P179" s="16" t="str">
        <x:f>IF(C179="","",H179-J179-SUM(K179:O179))</x:f>
      </x:c>
      <x:c r="Q179" s="17" t="str">
        <x:f>IF(C179="","",IF(H179=0,"",P179/H179))</x:f>
      </x:c>
      <x:c r="R179" s="17" t="str">
        <x:f>IF(C179="","",IF(J179=0,"",(H179-J179)/J179))</x:f>
      </x:c>
      <x:c r="S179" s="51"/>
      <x:c r="T179" s="51"/>
      <x:c r="U179" s="51"/>
      <x:c r="V179" s="11" t="str">
        <x:f>IF(C179="","",IF(OR(S179="Выкуплен",S179="Возврат"),E179,0))</x:f>
      </x:c>
      <x:c r="W179" s="11" t="str">
        <x:f>IF(C179="","",IF(B179="",0,IF(COUNTIFS($B$5:B179,B179)=1,1,0)))</x:f>
      </x:c>
      <x:c r="X179" s="11" t="str">
        <x:f>IF(C179="","",IF(S179="Выкуплен",W179,0))</x:f>
      </x:c>
      <x:c r="Y179" s="11" t="str">
        <x:f>IF(C179="","",IF(S179="Отменён",W179,0))</x:f>
      </x:c>
      <x:c r="Z179" s="11" t="str">
        <x:f>IF(C179="","",IF(S179="Возврат",W179,0))</x:f>
      </x:c>
      <x:c r="AA179" s="11" t="str">
        <x:f>IF(C179="","",IF(S179="Выкуплен",E179,0))</x:f>
      </x:c>
    </x:row>
    <x:row r="180" ht="23" customHeight="1">
      <x:c r="A180" s="54"/>
      <x:c r="B180" s="51"/>
      <x:c r="C180" s="51"/>
      <x:c r="D180" s="11" t="str">
        <x:f>IF(C180="","",_xlfn.IFNA(INDEX(Products[Товар],MATCH(C180,Products[SKU],0)),"Нет SKU"))</x:f>
      </x:c>
      <x:c r="E180" s="51"/>
      <x:c r="F180" s="55"/>
      <x:c r="G180" s="55"/>
      <x:c r="H180" s="16" t="str">
        <x:f>IF(C180="","",IF(S180="Выкуплен",E180*(F180-G180),0))</x:f>
      </x:c>
      <x:c r="I180" s="55"/>
      <x:c r="J180" s="16" t="str">
        <x:f>IF(C180="","",IF(S180="Выкуплен",E180*I180,IF(S180="Возврат",MAX(0,E180-U180)*I180,0)))</x:f>
      </x:c>
      <x:c r="K180" s="55"/>
      <x:c r="L180" s="55"/>
      <x:c r="M180" s="55"/>
      <x:c r="N180" s="55"/>
      <x:c r="O180" s="55"/>
      <x:c r="P180" s="16" t="str">
        <x:f>IF(C180="","",H180-J180-SUM(K180:O180))</x:f>
      </x:c>
      <x:c r="Q180" s="17" t="str">
        <x:f>IF(C180="","",IF(H180=0,"",P180/H180))</x:f>
      </x:c>
      <x:c r="R180" s="17" t="str">
        <x:f>IF(C180="","",IF(J180=0,"",(H180-J180)/J180))</x:f>
      </x:c>
      <x:c r="S180" s="51"/>
      <x:c r="T180" s="51"/>
      <x:c r="U180" s="51"/>
      <x:c r="V180" s="11" t="str">
        <x:f>IF(C180="","",IF(OR(S180="Выкуплен",S180="Возврат"),E180,0))</x:f>
      </x:c>
      <x:c r="W180" s="11" t="str">
        <x:f>IF(C180="","",IF(B180="",0,IF(COUNTIFS($B$5:B180,B180)=1,1,0)))</x:f>
      </x:c>
      <x:c r="X180" s="11" t="str">
        <x:f>IF(C180="","",IF(S180="Выкуплен",W180,0))</x:f>
      </x:c>
      <x:c r="Y180" s="11" t="str">
        <x:f>IF(C180="","",IF(S180="Отменён",W180,0))</x:f>
      </x:c>
      <x:c r="Z180" s="11" t="str">
        <x:f>IF(C180="","",IF(S180="Возврат",W180,0))</x:f>
      </x:c>
      <x:c r="AA180" s="11" t="str">
        <x:f>IF(C180="","",IF(S180="Выкуплен",E180,0))</x:f>
      </x:c>
    </x:row>
    <x:row r="181" ht="23" customHeight="1">
      <x:c r="A181" s="54"/>
      <x:c r="B181" s="51"/>
      <x:c r="C181" s="51"/>
      <x:c r="D181" s="11" t="str">
        <x:f>IF(C181="","",_xlfn.IFNA(INDEX(Products[Товар],MATCH(C181,Products[SKU],0)),"Нет SKU"))</x:f>
      </x:c>
      <x:c r="E181" s="51"/>
      <x:c r="F181" s="55"/>
      <x:c r="G181" s="55"/>
      <x:c r="H181" s="16" t="str">
        <x:f>IF(C181="","",IF(S181="Выкуплен",E181*(F181-G181),0))</x:f>
      </x:c>
      <x:c r="I181" s="55"/>
      <x:c r="J181" s="16" t="str">
        <x:f>IF(C181="","",IF(S181="Выкуплен",E181*I181,IF(S181="Возврат",MAX(0,E181-U181)*I181,0)))</x:f>
      </x:c>
      <x:c r="K181" s="55"/>
      <x:c r="L181" s="55"/>
      <x:c r="M181" s="55"/>
      <x:c r="N181" s="55"/>
      <x:c r="O181" s="55"/>
      <x:c r="P181" s="16" t="str">
        <x:f>IF(C181="","",H181-J181-SUM(K181:O181))</x:f>
      </x:c>
      <x:c r="Q181" s="17" t="str">
        <x:f>IF(C181="","",IF(H181=0,"",P181/H181))</x:f>
      </x:c>
      <x:c r="R181" s="17" t="str">
        <x:f>IF(C181="","",IF(J181=0,"",(H181-J181)/J181))</x:f>
      </x:c>
      <x:c r="S181" s="51"/>
      <x:c r="T181" s="51"/>
      <x:c r="U181" s="51"/>
      <x:c r="V181" s="11" t="str">
        <x:f>IF(C181="","",IF(OR(S181="Выкуплен",S181="Возврат"),E181,0))</x:f>
      </x:c>
      <x:c r="W181" s="11" t="str">
        <x:f>IF(C181="","",IF(B181="",0,IF(COUNTIFS($B$5:B181,B181)=1,1,0)))</x:f>
      </x:c>
      <x:c r="X181" s="11" t="str">
        <x:f>IF(C181="","",IF(S181="Выкуплен",W181,0))</x:f>
      </x:c>
      <x:c r="Y181" s="11" t="str">
        <x:f>IF(C181="","",IF(S181="Отменён",W181,0))</x:f>
      </x:c>
      <x:c r="Z181" s="11" t="str">
        <x:f>IF(C181="","",IF(S181="Возврат",W181,0))</x:f>
      </x:c>
      <x:c r="AA181" s="11" t="str">
        <x:f>IF(C181="","",IF(S181="Выкуплен",E181,0))</x:f>
      </x:c>
    </x:row>
    <x:row r="182" ht="23" customHeight="1">
      <x:c r="A182" s="54"/>
      <x:c r="B182" s="51"/>
      <x:c r="C182" s="51"/>
      <x:c r="D182" s="11" t="str">
        <x:f>IF(C182="","",_xlfn.IFNA(INDEX(Products[Товар],MATCH(C182,Products[SKU],0)),"Нет SKU"))</x:f>
      </x:c>
      <x:c r="E182" s="51"/>
      <x:c r="F182" s="55"/>
      <x:c r="G182" s="55"/>
      <x:c r="H182" s="16" t="str">
        <x:f>IF(C182="","",IF(S182="Выкуплен",E182*(F182-G182),0))</x:f>
      </x:c>
      <x:c r="I182" s="55"/>
      <x:c r="J182" s="16" t="str">
        <x:f>IF(C182="","",IF(S182="Выкуплен",E182*I182,IF(S182="Возврат",MAX(0,E182-U182)*I182,0)))</x:f>
      </x:c>
      <x:c r="K182" s="55"/>
      <x:c r="L182" s="55"/>
      <x:c r="M182" s="55"/>
      <x:c r="N182" s="55"/>
      <x:c r="O182" s="55"/>
      <x:c r="P182" s="16" t="str">
        <x:f>IF(C182="","",H182-J182-SUM(K182:O182))</x:f>
      </x:c>
      <x:c r="Q182" s="17" t="str">
        <x:f>IF(C182="","",IF(H182=0,"",P182/H182))</x:f>
      </x:c>
      <x:c r="R182" s="17" t="str">
        <x:f>IF(C182="","",IF(J182=0,"",(H182-J182)/J182))</x:f>
      </x:c>
      <x:c r="S182" s="51"/>
      <x:c r="T182" s="51"/>
      <x:c r="U182" s="51"/>
      <x:c r="V182" s="11" t="str">
        <x:f>IF(C182="","",IF(OR(S182="Выкуплен",S182="Возврат"),E182,0))</x:f>
      </x:c>
      <x:c r="W182" s="11" t="str">
        <x:f>IF(C182="","",IF(B182="",0,IF(COUNTIFS($B$5:B182,B182)=1,1,0)))</x:f>
      </x:c>
      <x:c r="X182" s="11" t="str">
        <x:f>IF(C182="","",IF(S182="Выкуплен",W182,0))</x:f>
      </x:c>
      <x:c r="Y182" s="11" t="str">
        <x:f>IF(C182="","",IF(S182="Отменён",W182,0))</x:f>
      </x:c>
      <x:c r="Z182" s="11" t="str">
        <x:f>IF(C182="","",IF(S182="Возврат",W182,0))</x:f>
      </x:c>
      <x:c r="AA182" s="11" t="str">
        <x:f>IF(C182="","",IF(S182="Выкуплен",E182,0))</x:f>
      </x:c>
    </x:row>
    <x:row r="183" ht="23" customHeight="1">
      <x:c r="A183" s="54"/>
      <x:c r="B183" s="51"/>
      <x:c r="C183" s="51"/>
      <x:c r="D183" s="11" t="str">
        <x:f>IF(C183="","",_xlfn.IFNA(INDEX(Products[Товар],MATCH(C183,Products[SKU],0)),"Нет SKU"))</x:f>
      </x:c>
      <x:c r="E183" s="51"/>
      <x:c r="F183" s="55"/>
      <x:c r="G183" s="55"/>
      <x:c r="H183" s="16" t="str">
        <x:f>IF(C183="","",IF(S183="Выкуплен",E183*(F183-G183),0))</x:f>
      </x:c>
      <x:c r="I183" s="55"/>
      <x:c r="J183" s="16" t="str">
        <x:f>IF(C183="","",IF(S183="Выкуплен",E183*I183,IF(S183="Возврат",MAX(0,E183-U183)*I183,0)))</x:f>
      </x:c>
      <x:c r="K183" s="55"/>
      <x:c r="L183" s="55"/>
      <x:c r="M183" s="55"/>
      <x:c r="N183" s="55"/>
      <x:c r="O183" s="55"/>
      <x:c r="P183" s="16" t="str">
        <x:f>IF(C183="","",H183-J183-SUM(K183:O183))</x:f>
      </x:c>
      <x:c r="Q183" s="17" t="str">
        <x:f>IF(C183="","",IF(H183=0,"",P183/H183))</x:f>
      </x:c>
      <x:c r="R183" s="17" t="str">
        <x:f>IF(C183="","",IF(J183=0,"",(H183-J183)/J183))</x:f>
      </x:c>
      <x:c r="S183" s="51"/>
      <x:c r="T183" s="51"/>
      <x:c r="U183" s="51"/>
      <x:c r="V183" s="11" t="str">
        <x:f>IF(C183="","",IF(OR(S183="Выкуплен",S183="Возврат"),E183,0))</x:f>
      </x:c>
      <x:c r="W183" s="11" t="str">
        <x:f>IF(C183="","",IF(B183="",0,IF(COUNTIFS($B$5:B183,B183)=1,1,0)))</x:f>
      </x:c>
      <x:c r="X183" s="11" t="str">
        <x:f>IF(C183="","",IF(S183="Выкуплен",W183,0))</x:f>
      </x:c>
      <x:c r="Y183" s="11" t="str">
        <x:f>IF(C183="","",IF(S183="Отменён",W183,0))</x:f>
      </x:c>
      <x:c r="Z183" s="11" t="str">
        <x:f>IF(C183="","",IF(S183="Возврат",W183,0))</x:f>
      </x:c>
      <x:c r="AA183" s="11" t="str">
        <x:f>IF(C183="","",IF(S183="Выкуплен",E183,0))</x:f>
      </x:c>
    </x:row>
    <x:row r="184" ht="23" customHeight="1">
      <x:c r="A184" s="54"/>
      <x:c r="B184" s="51"/>
      <x:c r="C184" s="51"/>
      <x:c r="D184" s="11" t="str">
        <x:f>IF(C184="","",_xlfn.IFNA(INDEX(Products[Товар],MATCH(C184,Products[SKU],0)),"Нет SKU"))</x:f>
      </x:c>
      <x:c r="E184" s="51"/>
      <x:c r="F184" s="55"/>
      <x:c r="G184" s="55"/>
      <x:c r="H184" s="16" t="str">
        <x:f>IF(C184="","",IF(S184="Выкуплен",E184*(F184-G184),0))</x:f>
      </x:c>
      <x:c r="I184" s="55"/>
      <x:c r="J184" s="16" t="str">
        <x:f>IF(C184="","",IF(S184="Выкуплен",E184*I184,IF(S184="Возврат",MAX(0,E184-U184)*I184,0)))</x:f>
      </x:c>
      <x:c r="K184" s="55"/>
      <x:c r="L184" s="55"/>
      <x:c r="M184" s="55"/>
      <x:c r="N184" s="55"/>
      <x:c r="O184" s="55"/>
      <x:c r="P184" s="16" t="str">
        <x:f>IF(C184="","",H184-J184-SUM(K184:O184))</x:f>
      </x:c>
      <x:c r="Q184" s="17" t="str">
        <x:f>IF(C184="","",IF(H184=0,"",P184/H184))</x:f>
      </x:c>
      <x:c r="R184" s="17" t="str">
        <x:f>IF(C184="","",IF(J184=0,"",(H184-J184)/J184))</x:f>
      </x:c>
      <x:c r="S184" s="51"/>
      <x:c r="T184" s="51"/>
      <x:c r="U184" s="51"/>
      <x:c r="V184" s="11" t="str">
        <x:f>IF(C184="","",IF(OR(S184="Выкуплен",S184="Возврат"),E184,0))</x:f>
      </x:c>
      <x:c r="W184" s="11" t="str">
        <x:f>IF(C184="","",IF(B184="",0,IF(COUNTIFS($B$5:B184,B184)=1,1,0)))</x:f>
      </x:c>
      <x:c r="X184" s="11" t="str">
        <x:f>IF(C184="","",IF(S184="Выкуплен",W184,0))</x:f>
      </x:c>
      <x:c r="Y184" s="11" t="str">
        <x:f>IF(C184="","",IF(S184="Отменён",W184,0))</x:f>
      </x:c>
      <x:c r="Z184" s="11" t="str">
        <x:f>IF(C184="","",IF(S184="Возврат",W184,0))</x:f>
      </x:c>
      <x:c r="AA184" s="11" t="str">
        <x:f>IF(C184="","",IF(S184="Выкуплен",E184,0))</x:f>
      </x:c>
    </x:row>
    <x:row r="185" ht="23" customHeight="1">
      <x:c r="A185" s="54"/>
      <x:c r="B185" s="51"/>
      <x:c r="C185" s="51"/>
      <x:c r="D185" s="11" t="str">
        <x:f>IF(C185="","",_xlfn.IFNA(INDEX(Products[Товар],MATCH(C185,Products[SKU],0)),"Нет SKU"))</x:f>
      </x:c>
      <x:c r="E185" s="51"/>
      <x:c r="F185" s="55"/>
      <x:c r="G185" s="55"/>
      <x:c r="H185" s="16" t="str">
        <x:f>IF(C185="","",IF(S185="Выкуплен",E185*(F185-G185),0))</x:f>
      </x:c>
      <x:c r="I185" s="55"/>
      <x:c r="J185" s="16" t="str">
        <x:f>IF(C185="","",IF(S185="Выкуплен",E185*I185,IF(S185="Возврат",MAX(0,E185-U185)*I185,0)))</x:f>
      </x:c>
      <x:c r="K185" s="55"/>
      <x:c r="L185" s="55"/>
      <x:c r="M185" s="55"/>
      <x:c r="N185" s="55"/>
      <x:c r="O185" s="55"/>
      <x:c r="P185" s="16" t="str">
        <x:f>IF(C185="","",H185-J185-SUM(K185:O185))</x:f>
      </x:c>
      <x:c r="Q185" s="17" t="str">
        <x:f>IF(C185="","",IF(H185=0,"",P185/H185))</x:f>
      </x:c>
      <x:c r="R185" s="17" t="str">
        <x:f>IF(C185="","",IF(J185=0,"",(H185-J185)/J185))</x:f>
      </x:c>
      <x:c r="S185" s="51"/>
      <x:c r="T185" s="51"/>
      <x:c r="U185" s="51"/>
      <x:c r="V185" s="11" t="str">
        <x:f>IF(C185="","",IF(OR(S185="Выкуплен",S185="Возврат"),E185,0))</x:f>
      </x:c>
      <x:c r="W185" s="11" t="str">
        <x:f>IF(C185="","",IF(B185="",0,IF(COUNTIFS($B$5:B185,B185)=1,1,0)))</x:f>
      </x:c>
      <x:c r="X185" s="11" t="str">
        <x:f>IF(C185="","",IF(S185="Выкуплен",W185,0))</x:f>
      </x:c>
      <x:c r="Y185" s="11" t="str">
        <x:f>IF(C185="","",IF(S185="Отменён",W185,0))</x:f>
      </x:c>
      <x:c r="Z185" s="11" t="str">
        <x:f>IF(C185="","",IF(S185="Возврат",W185,0))</x:f>
      </x:c>
      <x:c r="AA185" s="11" t="str">
        <x:f>IF(C185="","",IF(S185="Выкуплен",E185,0))</x:f>
      </x:c>
    </x:row>
    <x:row r="186" ht="23" customHeight="1">
      <x:c r="A186" s="54"/>
      <x:c r="B186" s="51"/>
      <x:c r="C186" s="51"/>
      <x:c r="D186" s="11" t="str">
        <x:f>IF(C186="","",_xlfn.IFNA(INDEX(Products[Товар],MATCH(C186,Products[SKU],0)),"Нет SKU"))</x:f>
      </x:c>
      <x:c r="E186" s="51"/>
      <x:c r="F186" s="55"/>
      <x:c r="G186" s="55"/>
      <x:c r="H186" s="16" t="str">
        <x:f>IF(C186="","",IF(S186="Выкуплен",E186*(F186-G186),0))</x:f>
      </x:c>
      <x:c r="I186" s="55"/>
      <x:c r="J186" s="16" t="str">
        <x:f>IF(C186="","",IF(S186="Выкуплен",E186*I186,IF(S186="Возврат",MAX(0,E186-U186)*I186,0)))</x:f>
      </x:c>
      <x:c r="K186" s="55"/>
      <x:c r="L186" s="55"/>
      <x:c r="M186" s="55"/>
      <x:c r="N186" s="55"/>
      <x:c r="O186" s="55"/>
      <x:c r="P186" s="16" t="str">
        <x:f>IF(C186="","",H186-J186-SUM(K186:O186))</x:f>
      </x:c>
      <x:c r="Q186" s="17" t="str">
        <x:f>IF(C186="","",IF(H186=0,"",P186/H186))</x:f>
      </x:c>
      <x:c r="R186" s="17" t="str">
        <x:f>IF(C186="","",IF(J186=0,"",(H186-J186)/J186))</x:f>
      </x:c>
      <x:c r="S186" s="51"/>
      <x:c r="T186" s="51"/>
      <x:c r="U186" s="51"/>
      <x:c r="V186" s="11" t="str">
        <x:f>IF(C186="","",IF(OR(S186="Выкуплен",S186="Возврат"),E186,0))</x:f>
      </x:c>
      <x:c r="W186" s="11" t="str">
        <x:f>IF(C186="","",IF(B186="",0,IF(COUNTIFS($B$5:B186,B186)=1,1,0)))</x:f>
      </x:c>
      <x:c r="X186" s="11" t="str">
        <x:f>IF(C186="","",IF(S186="Выкуплен",W186,0))</x:f>
      </x:c>
      <x:c r="Y186" s="11" t="str">
        <x:f>IF(C186="","",IF(S186="Отменён",W186,0))</x:f>
      </x:c>
      <x:c r="Z186" s="11" t="str">
        <x:f>IF(C186="","",IF(S186="Возврат",W186,0))</x:f>
      </x:c>
      <x:c r="AA186" s="11" t="str">
        <x:f>IF(C186="","",IF(S186="Выкуплен",E186,0))</x:f>
      </x:c>
    </x:row>
    <x:row r="187" ht="23" customHeight="1">
      <x:c r="A187" s="54"/>
      <x:c r="B187" s="51"/>
      <x:c r="C187" s="51"/>
      <x:c r="D187" s="11" t="str">
        <x:f>IF(C187="","",_xlfn.IFNA(INDEX(Products[Товар],MATCH(C187,Products[SKU],0)),"Нет SKU"))</x:f>
      </x:c>
      <x:c r="E187" s="51"/>
      <x:c r="F187" s="55"/>
      <x:c r="G187" s="55"/>
      <x:c r="H187" s="16" t="str">
        <x:f>IF(C187="","",IF(S187="Выкуплен",E187*(F187-G187),0))</x:f>
      </x:c>
      <x:c r="I187" s="55"/>
      <x:c r="J187" s="16" t="str">
        <x:f>IF(C187="","",IF(S187="Выкуплен",E187*I187,IF(S187="Возврат",MAX(0,E187-U187)*I187,0)))</x:f>
      </x:c>
      <x:c r="K187" s="55"/>
      <x:c r="L187" s="55"/>
      <x:c r="M187" s="55"/>
      <x:c r="N187" s="55"/>
      <x:c r="O187" s="55"/>
      <x:c r="P187" s="16" t="str">
        <x:f>IF(C187="","",H187-J187-SUM(K187:O187))</x:f>
      </x:c>
      <x:c r="Q187" s="17" t="str">
        <x:f>IF(C187="","",IF(H187=0,"",P187/H187))</x:f>
      </x:c>
      <x:c r="R187" s="17" t="str">
        <x:f>IF(C187="","",IF(J187=0,"",(H187-J187)/J187))</x:f>
      </x:c>
      <x:c r="S187" s="51"/>
      <x:c r="T187" s="51"/>
      <x:c r="U187" s="51"/>
      <x:c r="V187" s="11" t="str">
        <x:f>IF(C187="","",IF(OR(S187="Выкуплен",S187="Возврат"),E187,0))</x:f>
      </x:c>
      <x:c r="W187" s="11" t="str">
        <x:f>IF(C187="","",IF(B187="",0,IF(COUNTIFS($B$5:B187,B187)=1,1,0)))</x:f>
      </x:c>
      <x:c r="X187" s="11" t="str">
        <x:f>IF(C187="","",IF(S187="Выкуплен",W187,0))</x:f>
      </x:c>
      <x:c r="Y187" s="11" t="str">
        <x:f>IF(C187="","",IF(S187="Отменён",W187,0))</x:f>
      </x:c>
      <x:c r="Z187" s="11" t="str">
        <x:f>IF(C187="","",IF(S187="Возврат",W187,0))</x:f>
      </x:c>
      <x:c r="AA187" s="11" t="str">
        <x:f>IF(C187="","",IF(S187="Выкуплен",E187,0))</x:f>
      </x:c>
    </x:row>
    <x:row r="188" ht="23" customHeight="1">
      <x:c r="A188" s="54"/>
      <x:c r="B188" s="51"/>
      <x:c r="C188" s="51"/>
      <x:c r="D188" s="11" t="str">
        <x:f>IF(C188="","",_xlfn.IFNA(INDEX(Products[Товар],MATCH(C188,Products[SKU],0)),"Нет SKU"))</x:f>
      </x:c>
      <x:c r="E188" s="51"/>
      <x:c r="F188" s="55"/>
      <x:c r="G188" s="55"/>
      <x:c r="H188" s="16" t="str">
        <x:f>IF(C188="","",IF(S188="Выкуплен",E188*(F188-G188),0))</x:f>
      </x:c>
      <x:c r="I188" s="55"/>
      <x:c r="J188" s="16" t="str">
        <x:f>IF(C188="","",IF(S188="Выкуплен",E188*I188,IF(S188="Возврат",MAX(0,E188-U188)*I188,0)))</x:f>
      </x:c>
      <x:c r="K188" s="55"/>
      <x:c r="L188" s="55"/>
      <x:c r="M188" s="55"/>
      <x:c r="N188" s="55"/>
      <x:c r="O188" s="55"/>
      <x:c r="P188" s="16" t="str">
        <x:f>IF(C188="","",H188-J188-SUM(K188:O188))</x:f>
      </x:c>
      <x:c r="Q188" s="17" t="str">
        <x:f>IF(C188="","",IF(H188=0,"",P188/H188))</x:f>
      </x:c>
      <x:c r="R188" s="17" t="str">
        <x:f>IF(C188="","",IF(J188=0,"",(H188-J188)/J188))</x:f>
      </x:c>
      <x:c r="S188" s="51"/>
      <x:c r="T188" s="51"/>
      <x:c r="U188" s="51"/>
      <x:c r="V188" s="11" t="str">
        <x:f>IF(C188="","",IF(OR(S188="Выкуплен",S188="Возврат"),E188,0))</x:f>
      </x:c>
      <x:c r="W188" s="11" t="str">
        <x:f>IF(C188="","",IF(B188="",0,IF(COUNTIFS($B$5:B188,B188)=1,1,0)))</x:f>
      </x:c>
      <x:c r="X188" s="11" t="str">
        <x:f>IF(C188="","",IF(S188="Выкуплен",W188,0))</x:f>
      </x:c>
      <x:c r="Y188" s="11" t="str">
        <x:f>IF(C188="","",IF(S188="Отменён",W188,0))</x:f>
      </x:c>
      <x:c r="Z188" s="11" t="str">
        <x:f>IF(C188="","",IF(S188="Возврат",W188,0))</x:f>
      </x:c>
      <x:c r="AA188" s="11" t="str">
        <x:f>IF(C188="","",IF(S188="Выкуплен",E188,0))</x:f>
      </x:c>
    </x:row>
    <x:row r="189" ht="23" customHeight="1">
      <x:c r="A189" s="54"/>
      <x:c r="B189" s="51"/>
      <x:c r="C189" s="51"/>
      <x:c r="D189" s="11" t="str">
        <x:f>IF(C189="","",_xlfn.IFNA(INDEX(Products[Товар],MATCH(C189,Products[SKU],0)),"Нет SKU"))</x:f>
      </x:c>
      <x:c r="E189" s="51"/>
      <x:c r="F189" s="55"/>
      <x:c r="G189" s="55"/>
      <x:c r="H189" s="16" t="str">
        <x:f>IF(C189="","",IF(S189="Выкуплен",E189*(F189-G189),0))</x:f>
      </x:c>
      <x:c r="I189" s="55"/>
      <x:c r="J189" s="16" t="str">
        <x:f>IF(C189="","",IF(S189="Выкуплен",E189*I189,IF(S189="Возврат",MAX(0,E189-U189)*I189,0)))</x:f>
      </x:c>
      <x:c r="K189" s="55"/>
      <x:c r="L189" s="55"/>
      <x:c r="M189" s="55"/>
      <x:c r="N189" s="55"/>
      <x:c r="O189" s="55"/>
      <x:c r="P189" s="16" t="str">
        <x:f>IF(C189="","",H189-J189-SUM(K189:O189))</x:f>
      </x:c>
      <x:c r="Q189" s="17" t="str">
        <x:f>IF(C189="","",IF(H189=0,"",P189/H189))</x:f>
      </x:c>
      <x:c r="R189" s="17" t="str">
        <x:f>IF(C189="","",IF(J189=0,"",(H189-J189)/J189))</x:f>
      </x:c>
      <x:c r="S189" s="51"/>
      <x:c r="T189" s="51"/>
      <x:c r="U189" s="51"/>
      <x:c r="V189" s="11" t="str">
        <x:f>IF(C189="","",IF(OR(S189="Выкуплен",S189="Возврат"),E189,0))</x:f>
      </x:c>
      <x:c r="W189" s="11" t="str">
        <x:f>IF(C189="","",IF(B189="",0,IF(COUNTIFS($B$5:B189,B189)=1,1,0)))</x:f>
      </x:c>
      <x:c r="X189" s="11" t="str">
        <x:f>IF(C189="","",IF(S189="Выкуплен",W189,0))</x:f>
      </x:c>
      <x:c r="Y189" s="11" t="str">
        <x:f>IF(C189="","",IF(S189="Отменён",W189,0))</x:f>
      </x:c>
      <x:c r="Z189" s="11" t="str">
        <x:f>IF(C189="","",IF(S189="Возврат",W189,0))</x:f>
      </x:c>
      <x:c r="AA189" s="11" t="str">
        <x:f>IF(C189="","",IF(S189="Выкуплен",E189,0))</x:f>
      </x:c>
    </x:row>
    <x:row r="190" ht="23" customHeight="1">
      <x:c r="A190" s="54"/>
      <x:c r="B190" s="51"/>
      <x:c r="C190" s="51"/>
      <x:c r="D190" s="11" t="str">
        <x:f>IF(C190="","",_xlfn.IFNA(INDEX(Products[Товар],MATCH(C190,Products[SKU],0)),"Нет SKU"))</x:f>
      </x:c>
      <x:c r="E190" s="51"/>
      <x:c r="F190" s="55"/>
      <x:c r="G190" s="55"/>
      <x:c r="H190" s="16" t="str">
        <x:f>IF(C190="","",IF(S190="Выкуплен",E190*(F190-G190),0))</x:f>
      </x:c>
      <x:c r="I190" s="55"/>
      <x:c r="J190" s="16" t="str">
        <x:f>IF(C190="","",IF(S190="Выкуплен",E190*I190,IF(S190="Возврат",MAX(0,E190-U190)*I190,0)))</x:f>
      </x:c>
      <x:c r="K190" s="55"/>
      <x:c r="L190" s="55"/>
      <x:c r="M190" s="55"/>
      <x:c r="N190" s="55"/>
      <x:c r="O190" s="55"/>
      <x:c r="P190" s="16" t="str">
        <x:f>IF(C190="","",H190-J190-SUM(K190:O190))</x:f>
      </x:c>
      <x:c r="Q190" s="17" t="str">
        <x:f>IF(C190="","",IF(H190=0,"",P190/H190))</x:f>
      </x:c>
      <x:c r="R190" s="17" t="str">
        <x:f>IF(C190="","",IF(J190=0,"",(H190-J190)/J190))</x:f>
      </x:c>
      <x:c r="S190" s="51"/>
      <x:c r="T190" s="51"/>
      <x:c r="U190" s="51"/>
      <x:c r="V190" s="11" t="str">
        <x:f>IF(C190="","",IF(OR(S190="Выкуплен",S190="Возврат"),E190,0))</x:f>
      </x:c>
      <x:c r="W190" s="11" t="str">
        <x:f>IF(C190="","",IF(B190="",0,IF(COUNTIFS($B$5:B190,B190)=1,1,0)))</x:f>
      </x:c>
      <x:c r="X190" s="11" t="str">
        <x:f>IF(C190="","",IF(S190="Выкуплен",W190,0))</x:f>
      </x:c>
      <x:c r="Y190" s="11" t="str">
        <x:f>IF(C190="","",IF(S190="Отменён",W190,0))</x:f>
      </x:c>
      <x:c r="Z190" s="11" t="str">
        <x:f>IF(C190="","",IF(S190="Возврат",W190,0))</x:f>
      </x:c>
      <x:c r="AA190" s="11" t="str">
        <x:f>IF(C190="","",IF(S190="Выкуплен",E190,0))</x:f>
      </x:c>
    </x:row>
    <x:row r="191" ht="23" customHeight="1">
      <x:c r="A191" s="54"/>
      <x:c r="B191" s="51"/>
      <x:c r="C191" s="51"/>
      <x:c r="D191" s="11" t="str">
        <x:f>IF(C191="","",_xlfn.IFNA(INDEX(Products[Товар],MATCH(C191,Products[SKU],0)),"Нет SKU"))</x:f>
      </x:c>
      <x:c r="E191" s="51"/>
      <x:c r="F191" s="55"/>
      <x:c r="G191" s="55"/>
      <x:c r="H191" s="16" t="str">
        <x:f>IF(C191="","",IF(S191="Выкуплен",E191*(F191-G191),0))</x:f>
      </x:c>
      <x:c r="I191" s="55"/>
      <x:c r="J191" s="16" t="str">
        <x:f>IF(C191="","",IF(S191="Выкуплен",E191*I191,IF(S191="Возврат",MAX(0,E191-U191)*I191,0)))</x:f>
      </x:c>
      <x:c r="K191" s="55"/>
      <x:c r="L191" s="55"/>
      <x:c r="M191" s="55"/>
      <x:c r="N191" s="55"/>
      <x:c r="O191" s="55"/>
      <x:c r="P191" s="16" t="str">
        <x:f>IF(C191="","",H191-J191-SUM(K191:O191))</x:f>
      </x:c>
      <x:c r="Q191" s="17" t="str">
        <x:f>IF(C191="","",IF(H191=0,"",P191/H191))</x:f>
      </x:c>
      <x:c r="R191" s="17" t="str">
        <x:f>IF(C191="","",IF(J191=0,"",(H191-J191)/J191))</x:f>
      </x:c>
      <x:c r="S191" s="51"/>
      <x:c r="T191" s="51"/>
      <x:c r="U191" s="51"/>
      <x:c r="V191" s="11" t="str">
        <x:f>IF(C191="","",IF(OR(S191="Выкуплен",S191="Возврат"),E191,0))</x:f>
      </x:c>
      <x:c r="W191" s="11" t="str">
        <x:f>IF(C191="","",IF(B191="",0,IF(COUNTIFS($B$5:B191,B191)=1,1,0)))</x:f>
      </x:c>
      <x:c r="X191" s="11" t="str">
        <x:f>IF(C191="","",IF(S191="Выкуплен",W191,0))</x:f>
      </x:c>
      <x:c r="Y191" s="11" t="str">
        <x:f>IF(C191="","",IF(S191="Отменён",W191,0))</x:f>
      </x:c>
      <x:c r="Z191" s="11" t="str">
        <x:f>IF(C191="","",IF(S191="Возврат",W191,0))</x:f>
      </x:c>
      <x:c r="AA191" s="11" t="str">
        <x:f>IF(C191="","",IF(S191="Выкуплен",E191,0))</x:f>
      </x:c>
    </x:row>
    <x:row r="192" ht="23" customHeight="1">
      <x:c r="A192" s="54"/>
      <x:c r="B192" s="51"/>
      <x:c r="C192" s="51"/>
      <x:c r="D192" s="11" t="str">
        <x:f>IF(C192="","",_xlfn.IFNA(INDEX(Products[Товар],MATCH(C192,Products[SKU],0)),"Нет SKU"))</x:f>
      </x:c>
      <x:c r="E192" s="51"/>
      <x:c r="F192" s="55"/>
      <x:c r="G192" s="55"/>
      <x:c r="H192" s="16" t="str">
        <x:f>IF(C192="","",IF(S192="Выкуплен",E192*(F192-G192),0))</x:f>
      </x:c>
      <x:c r="I192" s="55"/>
      <x:c r="J192" s="16" t="str">
        <x:f>IF(C192="","",IF(S192="Выкуплен",E192*I192,IF(S192="Возврат",MAX(0,E192-U192)*I192,0)))</x:f>
      </x:c>
      <x:c r="K192" s="55"/>
      <x:c r="L192" s="55"/>
      <x:c r="M192" s="55"/>
      <x:c r="N192" s="55"/>
      <x:c r="O192" s="55"/>
      <x:c r="P192" s="16" t="str">
        <x:f>IF(C192="","",H192-J192-SUM(K192:O192))</x:f>
      </x:c>
      <x:c r="Q192" s="17" t="str">
        <x:f>IF(C192="","",IF(H192=0,"",P192/H192))</x:f>
      </x:c>
      <x:c r="R192" s="17" t="str">
        <x:f>IF(C192="","",IF(J192=0,"",(H192-J192)/J192))</x:f>
      </x:c>
      <x:c r="S192" s="51"/>
      <x:c r="T192" s="51"/>
      <x:c r="U192" s="51"/>
      <x:c r="V192" s="11" t="str">
        <x:f>IF(C192="","",IF(OR(S192="Выкуплен",S192="Возврат"),E192,0))</x:f>
      </x:c>
      <x:c r="W192" s="11" t="str">
        <x:f>IF(C192="","",IF(B192="",0,IF(COUNTIFS($B$5:B192,B192)=1,1,0)))</x:f>
      </x:c>
      <x:c r="X192" s="11" t="str">
        <x:f>IF(C192="","",IF(S192="Выкуплен",W192,0))</x:f>
      </x:c>
      <x:c r="Y192" s="11" t="str">
        <x:f>IF(C192="","",IF(S192="Отменён",W192,0))</x:f>
      </x:c>
      <x:c r="Z192" s="11" t="str">
        <x:f>IF(C192="","",IF(S192="Возврат",W192,0))</x:f>
      </x:c>
      <x:c r="AA192" s="11" t="str">
        <x:f>IF(C192="","",IF(S192="Выкуплен",E192,0))</x:f>
      </x:c>
    </x:row>
    <x:row r="193" ht="23" customHeight="1">
      <x:c r="A193" s="54"/>
      <x:c r="B193" s="51"/>
      <x:c r="C193" s="51"/>
      <x:c r="D193" s="11" t="str">
        <x:f>IF(C193="","",_xlfn.IFNA(INDEX(Products[Товар],MATCH(C193,Products[SKU],0)),"Нет SKU"))</x:f>
      </x:c>
      <x:c r="E193" s="51"/>
      <x:c r="F193" s="55"/>
      <x:c r="G193" s="55"/>
      <x:c r="H193" s="16" t="str">
        <x:f>IF(C193="","",IF(S193="Выкуплен",E193*(F193-G193),0))</x:f>
      </x:c>
      <x:c r="I193" s="55"/>
      <x:c r="J193" s="16" t="str">
        <x:f>IF(C193="","",IF(S193="Выкуплен",E193*I193,IF(S193="Возврат",MAX(0,E193-U193)*I193,0)))</x:f>
      </x:c>
      <x:c r="K193" s="55"/>
      <x:c r="L193" s="55"/>
      <x:c r="M193" s="55"/>
      <x:c r="N193" s="55"/>
      <x:c r="O193" s="55"/>
      <x:c r="P193" s="16" t="str">
        <x:f>IF(C193="","",H193-J193-SUM(K193:O193))</x:f>
      </x:c>
      <x:c r="Q193" s="17" t="str">
        <x:f>IF(C193="","",IF(H193=0,"",P193/H193))</x:f>
      </x:c>
      <x:c r="R193" s="17" t="str">
        <x:f>IF(C193="","",IF(J193=0,"",(H193-J193)/J193))</x:f>
      </x:c>
      <x:c r="S193" s="51"/>
      <x:c r="T193" s="51"/>
      <x:c r="U193" s="51"/>
      <x:c r="V193" s="11" t="str">
        <x:f>IF(C193="","",IF(OR(S193="Выкуплен",S193="Возврат"),E193,0))</x:f>
      </x:c>
      <x:c r="W193" s="11" t="str">
        <x:f>IF(C193="","",IF(B193="",0,IF(COUNTIFS($B$5:B193,B193)=1,1,0)))</x:f>
      </x:c>
      <x:c r="X193" s="11" t="str">
        <x:f>IF(C193="","",IF(S193="Выкуплен",W193,0))</x:f>
      </x:c>
      <x:c r="Y193" s="11" t="str">
        <x:f>IF(C193="","",IF(S193="Отменён",W193,0))</x:f>
      </x:c>
      <x:c r="Z193" s="11" t="str">
        <x:f>IF(C193="","",IF(S193="Возврат",W193,0))</x:f>
      </x:c>
      <x:c r="AA193" s="11" t="str">
        <x:f>IF(C193="","",IF(S193="Выкуплен",E193,0))</x:f>
      </x:c>
    </x:row>
    <x:row r="194" ht="23" customHeight="1">
      <x:c r="A194" s="54"/>
      <x:c r="B194" s="51"/>
      <x:c r="C194" s="51"/>
      <x:c r="D194" s="11" t="str">
        <x:f>IF(C194="","",_xlfn.IFNA(INDEX(Products[Товар],MATCH(C194,Products[SKU],0)),"Нет SKU"))</x:f>
      </x:c>
      <x:c r="E194" s="51"/>
      <x:c r="F194" s="55"/>
      <x:c r="G194" s="55"/>
      <x:c r="H194" s="16" t="str">
        <x:f>IF(C194="","",IF(S194="Выкуплен",E194*(F194-G194),0))</x:f>
      </x:c>
      <x:c r="I194" s="55"/>
      <x:c r="J194" s="16" t="str">
        <x:f>IF(C194="","",IF(S194="Выкуплен",E194*I194,IF(S194="Возврат",MAX(0,E194-U194)*I194,0)))</x:f>
      </x:c>
      <x:c r="K194" s="55"/>
      <x:c r="L194" s="55"/>
      <x:c r="M194" s="55"/>
      <x:c r="N194" s="55"/>
      <x:c r="O194" s="55"/>
      <x:c r="P194" s="16" t="str">
        <x:f>IF(C194="","",H194-J194-SUM(K194:O194))</x:f>
      </x:c>
      <x:c r="Q194" s="17" t="str">
        <x:f>IF(C194="","",IF(H194=0,"",P194/H194))</x:f>
      </x:c>
      <x:c r="R194" s="17" t="str">
        <x:f>IF(C194="","",IF(J194=0,"",(H194-J194)/J194))</x:f>
      </x:c>
      <x:c r="S194" s="51"/>
      <x:c r="T194" s="51"/>
      <x:c r="U194" s="51"/>
      <x:c r="V194" s="11" t="str">
        <x:f>IF(C194="","",IF(OR(S194="Выкуплен",S194="Возврат"),E194,0))</x:f>
      </x:c>
      <x:c r="W194" s="11" t="str">
        <x:f>IF(C194="","",IF(B194="",0,IF(COUNTIFS($B$5:B194,B194)=1,1,0)))</x:f>
      </x:c>
      <x:c r="X194" s="11" t="str">
        <x:f>IF(C194="","",IF(S194="Выкуплен",W194,0))</x:f>
      </x:c>
      <x:c r="Y194" s="11" t="str">
        <x:f>IF(C194="","",IF(S194="Отменён",W194,0))</x:f>
      </x:c>
      <x:c r="Z194" s="11" t="str">
        <x:f>IF(C194="","",IF(S194="Возврат",W194,0))</x:f>
      </x:c>
      <x:c r="AA194" s="11" t="str">
        <x:f>IF(C194="","",IF(S194="Выкуплен",E194,0))</x:f>
      </x:c>
    </x:row>
    <x:row r="195" ht="23" customHeight="1">
      <x:c r="A195" s="54"/>
      <x:c r="B195" s="51"/>
      <x:c r="C195" s="51"/>
      <x:c r="D195" s="11" t="str">
        <x:f>IF(C195="","",_xlfn.IFNA(INDEX(Products[Товар],MATCH(C195,Products[SKU],0)),"Нет SKU"))</x:f>
      </x:c>
      <x:c r="E195" s="51"/>
      <x:c r="F195" s="55"/>
      <x:c r="G195" s="55"/>
      <x:c r="H195" s="16" t="str">
        <x:f>IF(C195="","",IF(S195="Выкуплен",E195*(F195-G195),0))</x:f>
      </x:c>
      <x:c r="I195" s="55"/>
      <x:c r="J195" s="16" t="str">
        <x:f>IF(C195="","",IF(S195="Выкуплен",E195*I195,IF(S195="Возврат",MAX(0,E195-U195)*I195,0)))</x:f>
      </x:c>
      <x:c r="K195" s="55"/>
      <x:c r="L195" s="55"/>
      <x:c r="M195" s="55"/>
      <x:c r="N195" s="55"/>
      <x:c r="O195" s="55"/>
      <x:c r="P195" s="16" t="str">
        <x:f>IF(C195="","",H195-J195-SUM(K195:O195))</x:f>
      </x:c>
      <x:c r="Q195" s="17" t="str">
        <x:f>IF(C195="","",IF(H195=0,"",P195/H195))</x:f>
      </x:c>
      <x:c r="R195" s="17" t="str">
        <x:f>IF(C195="","",IF(J195=0,"",(H195-J195)/J195))</x:f>
      </x:c>
      <x:c r="S195" s="51"/>
      <x:c r="T195" s="51"/>
      <x:c r="U195" s="51"/>
      <x:c r="V195" s="11" t="str">
        <x:f>IF(C195="","",IF(OR(S195="Выкуплен",S195="Возврат"),E195,0))</x:f>
      </x:c>
      <x:c r="W195" s="11" t="str">
        <x:f>IF(C195="","",IF(B195="",0,IF(COUNTIFS($B$5:B195,B195)=1,1,0)))</x:f>
      </x:c>
      <x:c r="X195" s="11" t="str">
        <x:f>IF(C195="","",IF(S195="Выкуплен",W195,0))</x:f>
      </x:c>
      <x:c r="Y195" s="11" t="str">
        <x:f>IF(C195="","",IF(S195="Отменён",W195,0))</x:f>
      </x:c>
      <x:c r="Z195" s="11" t="str">
        <x:f>IF(C195="","",IF(S195="Возврат",W195,0))</x:f>
      </x:c>
      <x:c r="AA195" s="11" t="str">
        <x:f>IF(C195="","",IF(S195="Выкуплен",E195,0))</x:f>
      </x:c>
    </x:row>
    <x:row r="196" ht="23" customHeight="1">
      <x:c r="A196" s="54"/>
      <x:c r="B196" s="51"/>
      <x:c r="C196" s="51"/>
      <x:c r="D196" s="11" t="str">
        <x:f>IF(C196="","",_xlfn.IFNA(INDEX(Products[Товар],MATCH(C196,Products[SKU],0)),"Нет SKU"))</x:f>
      </x:c>
      <x:c r="E196" s="51"/>
      <x:c r="F196" s="55"/>
      <x:c r="G196" s="55"/>
      <x:c r="H196" s="16" t="str">
        <x:f>IF(C196="","",IF(S196="Выкуплен",E196*(F196-G196),0))</x:f>
      </x:c>
      <x:c r="I196" s="55"/>
      <x:c r="J196" s="16" t="str">
        <x:f>IF(C196="","",IF(S196="Выкуплен",E196*I196,IF(S196="Возврат",MAX(0,E196-U196)*I196,0)))</x:f>
      </x:c>
      <x:c r="K196" s="55"/>
      <x:c r="L196" s="55"/>
      <x:c r="M196" s="55"/>
      <x:c r="N196" s="55"/>
      <x:c r="O196" s="55"/>
      <x:c r="P196" s="16" t="str">
        <x:f>IF(C196="","",H196-J196-SUM(K196:O196))</x:f>
      </x:c>
      <x:c r="Q196" s="17" t="str">
        <x:f>IF(C196="","",IF(H196=0,"",P196/H196))</x:f>
      </x:c>
      <x:c r="R196" s="17" t="str">
        <x:f>IF(C196="","",IF(J196=0,"",(H196-J196)/J196))</x:f>
      </x:c>
      <x:c r="S196" s="51"/>
      <x:c r="T196" s="51"/>
      <x:c r="U196" s="51"/>
      <x:c r="V196" s="11" t="str">
        <x:f>IF(C196="","",IF(OR(S196="Выкуплен",S196="Возврат"),E196,0))</x:f>
      </x:c>
      <x:c r="W196" s="11" t="str">
        <x:f>IF(C196="","",IF(B196="",0,IF(COUNTIFS($B$5:B196,B196)=1,1,0)))</x:f>
      </x:c>
      <x:c r="X196" s="11" t="str">
        <x:f>IF(C196="","",IF(S196="Выкуплен",W196,0))</x:f>
      </x:c>
      <x:c r="Y196" s="11" t="str">
        <x:f>IF(C196="","",IF(S196="Отменён",W196,0))</x:f>
      </x:c>
      <x:c r="Z196" s="11" t="str">
        <x:f>IF(C196="","",IF(S196="Возврат",W196,0))</x:f>
      </x:c>
      <x:c r="AA196" s="11" t="str">
        <x:f>IF(C196="","",IF(S196="Выкуплен",E196,0))</x:f>
      </x:c>
    </x:row>
    <x:row r="197" ht="23" customHeight="1">
      <x:c r="A197" s="54"/>
      <x:c r="B197" s="51"/>
      <x:c r="C197" s="51"/>
      <x:c r="D197" s="11" t="str">
        <x:f>IF(C197="","",_xlfn.IFNA(INDEX(Products[Товар],MATCH(C197,Products[SKU],0)),"Нет SKU"))</x:f>
      </x:c>
      <x:c r="E197" s="51"/>
      <x:c r="F197" s="55"/>
      <x:c r="G197" s="55"/>
      <x:c r="H197" s="16" t="str">
        <x:f>IF(C197="","",IF(S197="Выкуплен",E197*(F197-G197),0))</x:f>
      </x:c>
      <x:c r="I197" s="55"/>
      <x:c r="J197" s="16" t="str">
        <x:f>IF(C197="","",IF(S197="Выкуплен",E197*I197,IF(S197="Возврат",MAX(0,E197-U197)*I197,0)))</x:f>
      </x:c>
      <x:c r="K197" s="55"/>
      <x:c r="L197" s="55"/>
      <x:c r="M197" s="55"/>
      <x:c r="N197" s="55"/>
      <x:c r="O197" s="55"/>
      <x:c r="P197" s="16" t="str">
        <x:f>IF(C197="","",H197-J197-SUM(K197:O197))</x:f>
      </x:c>
      <x:c r="Q197" s="17" t="str">
        <x:f>IF(C197="","",IF(H197=0,"",P197/H197))</x:f>
      </x:c>
      <x:c r="R197" s="17" t="str">
        <x:f>IF(C197="","",IF(J197=0,"",(H197-J197)/J197))</x:f>
      </x:c>
      <x:c r="S197" s="51"/>
      <x:c r="T197" s="51"/>
      <x:c r="U197" s="51"/>
      <x:c r="V197" s="11" t="str">
        <x:f>IF(C197="","",IF(OR(S197="Выкуплен",S197="Возврат"),E197,0))</x:f>
      </x:c>
      <x:c r="W197" s="11" t="str">
        <x:f>IF(C197="","",IF(B197="",0,IF(COUNTIFS($B$5:B197,B197)=1,1,0)))</x:f>
      </x:c>
      <x:c r="X197" s="11" t="str">
        <x:f>IF(C197="","",IF(S197="Выкуплен",W197,0))</x:f>
      </x:c>
      <x:c r="Y197" s="11" t="str">
        <x:f>IF(C197="","",IF(S197="Отменён",W197,0))</x:f>
      </x:c>
      <x:c r="Z197" s="11" t="str">
        <x:f>IF(C197="","",IF(S197="Возврат",W197,0))</x:f>
      </x:c>
      <x:c r="AA197" s="11" t="str">
        <x:f>IF(C197="","",IF(S197="Выкуплен",E197,0))</x:f>
      </x:c>
    </x:row>
    <x:row r="198" ht="23" customHeight="1">
      <x:c r="A198" s="54"/>
      <x:c r="B198" s="51"/>
      <x:c r="C198" s="51"/>
      <x:c r="D198" s="11" t="str">
        <x:f>IF(C198="","",_xlfn.IFNA(INDEX(Products[Товар],MATCH(C198,Products[SKU],0)),"Нет SKU"))</x:f>
      </x:c>
      <x:c r="E198" s="51"/>
      <x:c r="F198" s="55"/>
      <x:c r="G198" s="55"/>
      <x:c r="H198" s="16" t="str">
        <x:f>IF(C198="","",IF(S198="Выкуплен",E198*(F198-G198),0))</x:f>
      </x:c>
      <x:c r="I198" s="55"/>
      <x:c r="J198" s="16" t="str">
        <x:f>IF(C198="","",IF(S198="Выкуплен",E198*I198,IF(S198="Возврат",MAX(0,E198-U198)*I198,0)))</x:f>
      </x:c>
      <x:c r="K198" s="55"/>
      <x:c r="L198" s="55"/>
      <x:c r="M198" s="55"/>
      <x:c r="N198" s="55"/>
      <x:c r="O198" s="55"/>
      <x:c r="P198" s="16" t="str">
        <x:f>IF(C198="","",H198-J198-SUM(K198:O198))</x:f>
      </x:c>
      <x:c r="Q198" s="17" t="str">
        <x:f>IF(C198="","",IF(H198=0,"",P198/H198))</x:f>
      </x:c>
      <x:c r="R198" s="17" t="str">
        <x:f>IF(C198="","",IF(J198=0,"",(H198-J198)/J198))</x:f>
      </x:c>
      <x:c r="S198" s="51"/>
      <x:c r="T198" s="51"/>
      <x:c r="U198" s="51"/>
      <x:c r="V198" s="11" t="str">
        <x:f>IF(C198="","",IF(OR(S198="Выкуплен",S198="Возврат"),E198,0))</x:f>
      </x:c>
      <x:c r="W198" s="11" t="str">
        <x:f>IF(C198="","",IF(B198="",0,IF(COUNTIFS($B$5:B198,B198)=1,1,0)))</x:f>
      </x:c>
      <x:c r="X198" s="11" t="str">
        <x:f>IF(C198="","",IF(S198="Выкуплен",W198,0))</x:f>
      </x:c>
      <x:c r="Y198" s="11" t="str">
        <x:f>IF(C198="","",IF(S198="Отменён",W198,0))</x:f>
      </x:c>
      <x:c r="Z198" s="11" t="str">
        <x:f>IF(C198="","",IF(S198="Возврат",W198,0))</x:f>
      </x:c>
      <x:c r="AA198" s="11" t="str">
        <x:f>IF(C198="","",IF(S198="Выкуплен",E198,0))</x:f>
      </x:c>
    </x:row>
    <x:row r="199" ht="23" customHeight="1">
      <x:c r="A199" s="54"/>
      <x:c r="B199" s="51"/>
      <x:c r="C199" s="51"/>
      <x:c r="D199" s="11" t="str">
        <x:f>IF(C199="","",_xlfn.IFNA(INDEX(Products[Товар],MATCH(C199,Products[SKU],0)),"Нет SKU"))</x:f>
      </x:c>
      <x:c r="E199" s="51"/>
      <x:c r="F199" s="55"/>
      <x:c r="G199" s="55"/>
      <x:c r="H199" s="16" t="str">
        <x:f>IF(C199="","",IF(S199="Выкуплен",E199*(F199-G199),0))</x:f>
      </x:c>
      <x:c r="I199" s="55"/>
      <x:c r="J199" s="16" t="str">
        <x:f>IF(C199="","",IF(S199="Выкуплен",E199*I199,IF(S199="Возврат",MAX(0,E199-U199)*I199,0)))</x:f>
      </x:c>
      <x:c r="K199" s="55"/>
      <x:c r="L199" s="55"/>
      <x:c r="M199" s="55"/>
      <x:c r="N199" s="55"/>
      <x:c r="O199" s="55"/>
      <x:c r="P199" s="16" t="str">
        <x:f>IF(C199="","",H199-J199-SUM(K199:O199))</x:f>
      </x:c>
      <x:c r="Q199" s="17" t="str">
        <x:f>IF(C199="","",IF(H199=0,"",P199/H199))</x:f>
      </x:c>
      <x:c r="R199" s="17" t="str">
        <x:f>IF(C199="","",IF(J199=0,"",(H199-J199)/J199))</x:f>
      </x:c>
      <x:c r="S199" s="51"/>
      <x:c r="T199" s="51"/>
      <x:c r="U199" s="51"/>
      <x:c r="V199" s="11" t="str">
        <x:f>IF(C199="","",IF(OR(S199="Выкуплен",S199="Возврат"),E199,0))</x:f>
      </x:c>
      <x:c r="W199" s="11" t="str">
        <x:f>IF(C199="","",IF(B199="",0,IF(COUNTIFS($B$5:B199,B199)=1,1,0)))</x:f>
      </x:c>
      <x:c r="X199" s="11" t="str">
        <x:f>IF(C199="","",IF(S199="Выкуплен",W199,0))</x:f>
      </x:c>
      <x:c r="Y199" s="11" t="str">
        <x:f>IF(C199="","",IF(S199="Отменён",W199,0))</x:f>
      </x:c>
      <x:c r="Z199" s="11" t="str">
        <x:f>IF(C199="","",IF(S199="Возврат",W199,0))</x:f>
      </x:c>
      <x:c r="AA199" s="11" t="str">
        <x:f>IF(C199="","",IF(S199="Выкуплен",E199,0))</x:f>
      </x:c>
    </x:row>
    <x:row r="200" ht="23" customHeight="1">
      <x:c r="A200" s="54"/>
      <x:c r="B200" s="51"/>
      <x:c r="C200" s="51"/>
      <x:c r="D200" s="11" t="str">
        <x:f>IF(C200="","",_xlfn.IFNA(INDEX(Products[Товар],MATCH(C200,Products[SKU],0)),"Нет SKU"))</x:f>
      </x:c>
      <x:c r="E200" s="51"/>
      <x:c r="F200" s="55"/>
      <x:c r="G200" s="55"/>
      <x:c r="H200" s="16" t="str">
        <x:f>IF(C200="","",IF(S200="Выкуплен",E200*(F200-G200),0))</x:f>
      </x:c>
      <x:c r="I200" s="55"/>
      <x:c r="J200" s="16" t="str">
        <x:f>IF(C200="","",IF(S200="Выкуплен",E200*I200,IF(S200="Возврат",MAX(0,E200-U200)*I200,0)))</x:f>
      </x:c>
      <x:c r="K200" s="55"/>
      <x:c r="L200" s="55"/>
      <x:c r="M200" s="55"/>
      <x:c r="N200" s="55"/>
      <x:c r="O200" s="55"/>
      <x:c r="P200" s="16" t="str">
        <x:f>IF(C200="","",H200-J200-SUM(K200:O200))</x:f>
      </x:c>
      <x:c r="Q200" s="17" t="str">
        <x:f>IF(C200="","",IF(H200=0,"",P200/H200))</x:f>
      </x:c>
      <x:c r="R200" s="17" t="str">
        <x:f>IF(C200="","",IF(J200=0,"",(H200-J200)/J200))</x:f>
      </x:c>
      <x:c r="S200" s="51"/>
      <x:c r="T200" s="51"/>
      <x:c r="U200" s="51"/>
      <x:c r="V200" s="11" t="str">
        <x:f>IF(C200="","",IF(OR(S200="Выкуплен",S200="Возврат"),E200,0))</x:f>
      </x:c>
      <x:c r="W200" s="11" t="str">
        <x:f>IF(C200="","",IF(B200="",0,IF(COUNTIFS($B$5:B200,B200)=1,1,0)))</x:f>
      </x:c>
      <x:c r="X200" s="11" t="str">
        <x:f>IF(C200="","",IF(S200="Выкуплен",W200,0))</x:f>
      </x:c>
      <x:c r="Y200" s="11" t="str">
        <x:f>IF(C200="","",IF(S200="Отменён",W200,0))</x:f>
      </x:c>
      <x:c r="Z200" s="11" t="str">
        <x:f>IF(C200="","",IF(S200="Возврат",W200,0))</x:f>
      </x:c>
      <x:c r="AA200" s="11" t="str">
        <x:f>IF(C200="","",IF(S200="Выкуплен",E200,0))</x:f>
      </x:c>
    </x:row>
    <x:row r="201" ht="23" customHeight="1">
      <x:c r="A201" s="54"/>
      <x:c r="B201" s="51"/>
      <x:c r="C201" s="51"/>
      <x:c r="D201" s="11" t="str">
        <x:f>IF(C201="","",_xlfn.IFNA(INDEX(Products[Товар],MATCH(C201,Products[SKU],0)),"Нет SKU"))</x:f>
      </x:c>
      <x:c r="E201" s="51"/>
      <x:c r="F201" s="55"/>
      <x:c r="G201" s="55"/>
      <x:c r="H201" s="16" t="str">
        <x:f>IF(C201="","",IF(S201="Выкуплен",E201*(F201-G201),0))</x:f>
      </x:c>
      <x:c r="I201" s="55"/>
      <x:c r="J201" s="16" t="str">
        <x:f>IF(C201="","",IF(S201="Выкуплен",E201*I201,IF(S201="Возврат",MAX(0,E201-U201)*I201,0)))</x:f>
      </x:c>
      <x:c r="K201" s="55"/>
      <x:c r="L201" s="55"/>
      <x:c r="M201" s="55"/>
      <x:c r="N201" s="55"/>
      <x:c r="O201" s="55"/>
      <x:c r="P201" s="16" t="str">
        <x:f>IF(C201="","",H201-J201-SUM(K201:O201))</x:f>
      </x:c>
      <x:c r="Q201" s="17" t="str">
        <x:f>IF(C201="","",IF(H201=0,"",P201/H201))</x:f>
      </x:c>
      <x:c r="R201" s="17" t="str">
        <x:f>IF(C201="","",IF(J201=0,"",(H201-J201)/J201))</x:f>
      </x:c>
      <x:c r="S201" s="51"/>
      <x:c r="T201" s="51"/>
      <x:c r="U201" s="51"/>
      <x:c r="V201" s="11" t="str">
        <x:f>IF(C201="","",IF(OR(S201="Выкуплен",S201="Возврат"),E201,0))</x:f>
      </x:c>
      <x:c r="W201" s="11" t="str">
        <x:f>IF(C201="","",IF(B201="",0,IF(COUNTIFS($B$5:B201,B201)=1,1,0)))</x:f>
      </x:c>
      <x:c r="X201" s="11" t="str">
        <x:f>IF(C201="","",IF(S201="Выкуплен",W201,0))</x:f>
      </x:c>
      <x:c r="Y201" s="11" t="str">
        <x:f>IF(C201="","",IF(S201="Отменён",W201,0))</x:f>
      </x:c>
      <x:c r="Z201" s="11" t="str">
        <x:f>IF(C201="","",IF(S201="Возврат",W201,0))</x:f>
      </x:c>
      <x:c r="AA201" s="11" t="str">
        <x:f>IF(C201="","",IF(S201="Выкуплен",E201,0))</x:f>
      </x:c>
    </x:row>
    <x:row r="202" ht="23" customHeight="1">
      <x:c r="A202" s="54"/>
      <x:c r="B202" s="51"/>
      <x:c r="C202" s="51"/>
      <x:c r="D202" s="11" t="str">
        <x:f>IF(C202="","",_xlfn.IFNA(INDEX(Products[Товар],MATCH(C202,Products[SKU],0)),"Нет SKU"))</x:f>
      </x:c>
      <x:c r="E202" s="51"/>
      <x:c r="F202" s="55"/>
      <x:c r="G202" s="55"/>
      <x:c r="H202" s="16" t="str">
        <x:f>IF(C202="","",IF(S202="Выкуплен",E202*(F202-G202),0))</x:f>
      </x:c>
      <x:c r="I202" s="55"/>
      <x:c r="J202" s="16" t="str">
        <x:f>IF(C202="","",IF(S202="Выкуплен",E202*I202,IF(S202="Возврат",MAX(0,E202-U202)*I202,0)))</x:f>
      </x:c>
      <x:c r="K202" s="55"/>
      <x:c r="L202" s="55"/>
      <x:c r="M202" s="55"/>
      <x:c r="N202" s="55"/>
      <x:c r="O202" s="55"/>
      <x:c r="P202" s="16" t="str">
        <x:f>IF(C202="","",H202-J202-SUM(K202:O202))</x:f>
      </x:c>
      <x:c r="Q202" s="17" t="str">
        <x:f>IF(C202="","",IF(H202=0,"",P202/H202))</x:f>
      </x:c>
      <x:c r="R202" s="17" t="str">
        <x:f>IF(C202="","",IF(J202=0,"",(H202-J202)/J202))</x:f>
      </x:c>
      <x:c r="S202" s="51"/>
      <x:c r="T202" s="51"/>
      <x:c r="U202" s="51"/>
      <x:c r="V202" s="11" t="str">
        <x:f>IF(C202="","",IF(OR(S202="Выкуплен",S202="Возврат"),E202,0))</x:f>
      </x:c>
      <x:c r="W202" s="11" t="str">
        <x:f>IF(C202="","",IF(B202="",0,IF(COUNTIFS($B$5:B202,B202)=1,1,0)))</x:f>
      </x:c>
      <x:c r="X202" s="11" t="str">
        <x:f>IF(C202="","",IF(S202="Выкуплен",W202,0))</x:f>
      </x:c>
      <x:c r="Y202" s="11" t="str">
        <x:f>IF(C202="","",IF(S202="Отменён",W202,0))</x:f>
      </x:c>
      <x:c r="Z202" s="11" t="str">
        <x:f>IF(C202="","",IF(S202="Возврат",W202,0))</x:f>
      </x:c>
      <x:c r="AA202" s="11" t="str">
        <x:f>IF(C202="","",IF(S202="Выкуплен",E202,0))</x:f>
      </x:c>
    </x:row>
    <x:row r="203" ht="23" customHeight="1">
      <x:c r="A203" s="54"/>
      <x:c r="B203" s="51"/>
      <x:c r="C203" s="51"/>
      <x:c r="D203" s="11" t="str">
        <x:f>IF(C203="","",_xlfn.IFNA(INDEX(Products[Товар],MATCH(C203,Products[SKU],0)),"Нет SKU"))</x:f>
      </x:c>
      <x:c r="E203" s="51"/>
      <x:c r="F203" s="55"/>
      <x:c r="G203" s="55"/>
      <x:c r="H203" s="16" t="str">
        <x:f>IF(C203="","",IF(S203="Выкуплен",E203*(F203-G203),0))</x:f>
      </x:c>
      <x:c r="I203" s="55"/>
      <x:c r="J203" s="16" t="str">
        <x:f>IF(C203="","",IF(S203="Выкуплен",E203*I203,IF(S203="Возврат",MAX(0,E203-U203)*I203,0)))</x:f>
      </x:c>
      <x:c r="K203" s="55"/>
      <x:c r="L203" s="55"/>
      <x:c r="M203" s="55"/>
      <x:c r="N203" s="55"/>
      <x:c r="O203" s="55"/>
      <x:c r="P203" s="16" t="str">
        <x:f>IF(C203="","",H203-J203-SUM(K203:O203))</x:f>
      </x:c>
      <x:c r="Q203" s="17" t="str">
        <x:f>IF(C203="","",IF(H203=0,"",P203/H203))</x:f>
      </x:c>
      <x:c r="R203" s="17" t="str">
        <x:f>IF(C203="","",IF(J203=0,"",(H203-J203)/J203))</x:f>
      </x:c>
      <x:c r="S203" s="51"/>
      <x:c r="T203" s="51"/>
      <x:c r="U203" s="51"/>
      <x:c r="V203" s="11" t="str">
        <x:f>IF(C203="","",IF(OR(S203="Выкуплен",S203="Возврат"),E203,0))</x:f>
      </x:c>
      <x:c r="W203" s="11" t="str">
        <x:f>IF(C203="","",IF(B203="",0,IF(COUNTIFS($B$5:B203,B203)=1,1,0)))</x:f>
      </x:c>
      <x:c r="X203" s="11" t="str">
        <x:f>IF(C203="","",IF(S203="Выкуплен",W203,0))</x:f>
      </x:c>
      <x:c r="Y203" s="11" t="str">
        <x:f>IF(C203="","",IF(S203="Отменён",W203,0))</x:f>
      </x:c>
      <x:c r="Z203" s="11" t="str">
        <x:f>IF(C203="","",IF(S203="Возврат",W203,0))</x:f>
      </x:c>
      <x:c r="AA203" s="11" t="str">
        <x:f>IF(C203="","",IF(S203="Выкуплен",E203,0))</x:f>
      </x:c>
    </x:row>
    <x:row r="204" ht="23" customHeight="1">
      <x:c r="A204" s="54"/>
      <x:c r="B204" s="51"/>
      <x:c r="C204" s="51"/>
      <x:c r="D204" s="11" t="str">
        <x:f>IF(C204="","",_xlfn.IFNA(INDEX(Products[Товар],MATCH(C204,Products[SKU],0)),"Нет SKU"))</x:f>
      </x:c>
      <x:c r="E204" s="51"/>
      <x:c r="F204" s="55"/>
      <x:c r="G204" s="55"/>
      <x:c r="H204" s="16" t="str">
        <x:f>IF(C204="","",IF(S204="Выкуплен",E204*(F204-G204),0))</x:f>
      </x:c>
      <x:c r="I204" s="55"/>
      <x:c r="J204" s="16" t="str">
        <x:f>IF(C204="","",IF(S204="Выкуплен",E204*I204,IF(S204="Возврат",MAX(0,E204-U204)*I204,0)))</x:f>
      </x:c>
      <x:c r="K204" s="55"/>
      <x:c r="L204" s="55"/>
      <x:c r="M204" s="55"/>
      <x:c r="N204" s="55"/>
      <x:c r="O204" s="55"/>
      <x:c r="P204" s="16" t="str">
        <x:f>IF(C204="","",H204-J204-SUM(K204:O204))</x:f>
      </x:c>
      <x:c r="Q204" s="17" t="str">
        <x:f>IF(C204="","",IF(H204=0,"",P204/H204))</x:f>
      </x:c>
      <x:c r="R204" s="17" t="str">
        <x:f>IF(C204="","",IF(J204=0,"",(H204-J204)/J204))</x:f>
      </x:c>
      <x:c r="S204" s="51"/>
      <x:c r="T204" s="51"/>
      <x:c r="U204" s="51"/>
      <x:c r="V204" s="11" t="str">
        <x:f>IF(C204="","",IF(OR(S204="Выкуплен",S204="Возврат"),E204,0))</x:f>
      </x:c>
      <x:c r="W204" s="11" t="str">
        <x:f>IF(C204="","",IF(B204="",0,IF(COUNTIFS($B$5:B204,B204)=1,1,0)))</x:f>
      </x:c>
      <x:c r="X204" s="11" t="str">
        <x:f>IF(C204="","",IF(S204="Выкуплен",W204,0))</x:f>
      </x:c>
      <x:c r="Y204" s="11" t="str">
        <x:f>IF(C204="","",IF(S204="Отменён",W204,0))</x:f>
      </x:c>
      <x:c r="Z204" s="11" t="str">
        <x:f>IF(C204="","",IF(S204="Возврат",W204,0))</x:f>
      </x:c>
      <x:c r="AA204" s="11" t="str">
        <x:f>IF(C204="","",IF(S204="Выкуплен",E204,0))</x:f>
      </x:c>
    </x:row>
  </x:sheetData>
  <x:sheetProtection sheet="1" objects="1" scenarios="1" autoFilter="0" sort="0" selectLockedCells="0" selectUnlockedCells="0"/>
  <x:mergeCells>
    <x:mergeCell ref="A1:L1"/>
    <x:mergeCell ref="A2:L2"/>
  </x:mergeCells>
  <x:conditionalFormatting sqref="P5:P204">
    <x:cfRule type="cellIs" dxfId="0" priority="1" operator="lessThan">
      <x:formula>0</x:formula>
    </x:cfRule>
    <x:cfRule type="cellIs" dxfId="1" priority="2" operator="greaterThan">
      <x:formula>0</x:formula>
    </x:cfRule>
  </x:conditionalFormatting>
  <x:dataValidations count="1">
    <x:dataValidation type="list" sqref="S5:S204">
      <x:formula1>"Новый,Выкуплен,Отменён,Возврат"</x:formula1>
    </x:dataValidation>
  </x:dataValidations>
  <x:pageMargins left="0.7" right="0.7" top="0.75" bottom="0.75" header="0.3" footer="0.3"/>
  <x:tableParts count="1">
    <x:tablePart ns1:id="Rc2601b051e604502"/>
  </x:tableParts>
</x:worksheet>
</file>

<file path=xl/worksheets/sheet8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34" customHeight="1">
      <x:c r="A1" s="2" t="str">
        <x:v>AutoHome  /  Склад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56" customHeight="1">
      <x:c r="A4" s="9" t="str">
        <x:v>SKU</x:v>
      </x:c>
      <x:c r="B4" s="9" t="str">
        <x:v>Товар</x:v>
      </x:c>
      <x:c r="C4" s="9" t="str">
        <x:v>Начальный остаток</x:v>
      </x:c>
      <x:c r="D4" s="9" t="str">
        <x:v>Поступление</x:v>
      </x:c>
      <x:c r="E4" s="9" t="str">
        <x:v>Выбыло</x:v>
      </x:c>
      <x:c r="F4" s="9" t="str">
        <x:v>Возвраты на склад</x:v>
      </x:c>
      <x:c r="G4" s="9" t="str">
        <x:v>Списания</x:v>
      </x:c>
      <x:c r="H4" s="9" t="str">
        <x:v>Остаток</x:v>
      </x:c>
      <x:c r="I4" s="9" t="str">
        <x:v>Минимум</x:v>
      </x:c>
      <x:c r="J4" s="9" t="str">
        <x:v>Закупка</x:v>
      </x:c>
      <x:c r="K4" s="1"/>
      <x:c r="L4" s="1"/>
    </x:row>
    <x:row r="5" ht="23" customHeight="1">
      <x:c r="A5" s="51"/>
      <x:c r="B5" s="11" t="str">
        <x:f>IF(A5="","",_xlfn.IFNA(INDEX(Products[Товар],MATCH(A5,Products[SKU],0)),"Нет SKU"))</x:f>
      </x:c>
      <x:c r="C5" s="51"/>
      <x:c r="D5" s="11" t="str">
        <x:f>IF(A5="","",SUMIFS(Purchases[Количество],Purchases[SKU],A5))</x:f>
      </x:c>
      <x:c r="E5" s="11" t="str">
        <x:f>IF(A5="","",SUMIFS(Orders[Выбыло шт.],Orders[SKU],A5))</x:f>
      </x:c>
      <x:c r="F5" s="11" t="str">
        <x:f>IF(A5="","",SUMIFS(Orders[Возврат на склад шт.],Orders[SKU],A5,Orders[Статус],"Возврат"))</x:f>
      </x:c>
      <x:c r="G5" s="51"/>
      <x:c r="H5" s="11" t="str">
        <x:f>IF(A5="","",C5+D5-E5+F5-G5)</x:f>
      </x:c>
      <x:c r="I5" s="51"/>
      <x:c r="J5" s="11" t="str">
        <x:f>IF(A5="","",IF(H5&lt;0,"Ошибка: минус",IF(H5&lt;=I5,"Закупить","Достаточно")))</x:f>
      </x:c>
      <x:c r="K5" s="1"/>
      <x:c r="L5" s="1"/>
    </x:row>
    <x:row r="6" ht="23" customHeight="1">
      <x:c r="A6" s="51"/>
      <x:c r="B6" s="11" t="str">
        <x:f>IF(A6="","",_xlfn.IFNA(INDEX(Products[Товар],MATCH(A6,Products[SKU],0)),"Нет SKU"))</x:f>
      </x:c>
      <x:c r="C6" s="51"/>
      <x:c r="D6" s="11" t="str">
        <x:f>IF(A6="","",SUMIFS(Purchases[Количество],Purchases[SKU],A6))</x:f>
      </x:c>
      <x:c r="E6" s="11" t="str">
        <x:f>IF(A6="","",SUMIFS(Orders[Выбыло шт.],Orders[SKU],A6))</x:f>
      </x:c>
      <x:c r="F6" s="11" t="str">
        <x:f>IF(A6="","",SUMIFS(Orders[Возврат на склад шт.],Orders[SKU],A6,Orders[Статус],"Возврат"))</x:f>
      </x:c>
      <x:c r="G6" s="51"/>
      <x:c r="H6" s="11" t="str">
        <x:f>IF(A6="","",C6+D6-E6+F6-G6)</x:f>
      </x:c>
      <x:c r="I6" s="51"/>
      <x:c r="J6" s="11" t="str">
        <x:f>IF(A6="","",IF(H6&lt;0,"Ошибка: минус",IF(H6&lt;=I6,"Закупить","Достаточно")))</x:f>
      </x:c>
      <x:c r="K6" s="1"/>
      <x:c r="L6" s="1"/>
    </x:row>
    <x:row r="7" ht="23" customHeight="1">
      <x:c r="A7" s="51"/>
      <x:c r="B7" s="11" t="str">
        <x:f>IF(A7="","",_xlfn.IFNA(INDEX(Products[Товар],MATCH(A7,Products[SKU],0)),"Нет SKU"))</x:f>
      </x:c>
      <x:c r="C7" s="51"/>
      <x:c r="D7" s="11" t="str">
        <x:f>IF(A7="","",SUMIFS(Purchases[Количество],Purchases[SKU],A7))</x:f>
      </x:c>
      <x:c r="E7" s="11" t="str">
        <x:f>IF(A7="","",SUMIFS(Orders[Выбыло шт.],Orders[SKU],A7))</x:f>
      </x:c>
      <x:c r="F7" s="11" t="str">
        <x:f>IF(A7="","",SUMIFS(Orders[Возврат на склад шт.],Orders[SKU],A7,Orders[Статус],"Возврат"))</x:f>
      </x:c>
      <x:c r="G7" s="51"/>
      <x:c r="H7" s="11" t="str">
        <x:f>IF(A7="","",C7+D7-E7+F7-G7)</x:f>
      </x:c>
      <x:c r="I7" s="51"/>
      <x:c r="J7" s="11" t="str">
        <x:f>IF(A7="","",IF(H7&lt;0,"Ошибка: минус",IF(H7&lt;=I7,"Закупить","Достаточно")))</x:f>
      </x:c>
      <x:c r="K7" s="1"/>
      <x:c r="L7" s="1"/>
    </x:row>
    <x:row r="8" ht="23" customHeight="1">
      <x:c r="A8" s="51"/>
      <x:c r="B8" s="11" t="str">
        <x:f>IF(A8="","",_xlfn.IFNA(INDEX(Products[Товар],MATCH(A8,Products[SKU],0)),"Нет SKU"))</x:f>
      </x:c>
      <x:c r="C8" s="51"/>
      <x:c r="D8" s="11" t="str">
        <x:f>IF(A8="","",SUMIFS(Purchases[Количество],Purchases[SKU],A8))</x:f>
      </x:c>
      <x:c r="E8" s="11" t="str">
        <x:f>IF(A8="","",SUMIFS(Orders[Выбыло шт.],Orders[SKU],A8))</x:f>
      </x:c>
      <x:c r="F8" s="11" t="str">
        <x:f>IF(A8="","",SUMIFS(Orders[Возврат на склад шт.],Orders[SKU],A8,Orders[Статус],"Возврат"))</x:f>
      </x:c>
      <x:c r="G8" s="51"/>
      <x:c r="H8" s="11" t="str">
        <x:f>IF(A8="","",C8+D8-E8+F8-G8)</x:f>
      </x:c>
      <x:c r="I8" s="51"/>
      <x:c r="J8" s="11" t="str">
        <x:f>IF(A8="","",IF(H8&lt;0,"Ошибка: минус",IF(H8&lt;=I8,"Закупить","Достаточно")))</x:f>
      </x:c>
      <x:c r="K8" s="1"/>
      <x:c r="L8" s="1"/>
    </x:row>
    <x:row r="9" ht="23" customHeight="1">
      <x:c r="A9" s="51"/>
      <x:c r="B9" s="11" t="str">
        <x:f>IF(A9="","",_xlfn.IFNA(INDEX(Products[Товар],MATCH(A9,Products[SKU],0)),"Нет SKU"))</x:f>
      </x:c>
      <x:c r="C9" s="51"/>
      <x:c r="D9" s="11" t="str">
        <x:f>IF(A9="","",SUMIFS(Purchases[Количество],Purchases[SKU],A9))</x:f>
      </x:c>
      <x:c r="E9" s="11" t="str">
        <x:f>IF(A9="","",SUMIFS(Orders[Выбыло шт.],Orders[SKU],A9))</x:f>
      </x:c>
      <x:c r="F9" s="11" t="str">
        <x:f>IF(A9="","",SUMIFS(Orders[Возврат на склад шт.],Orders[SKU],A9,Orders[Статус],"Возврат"))</x:f>
      </x:c>
      <x:c r="G9" s="51"/>
      <x:c r="H9" s="11" t="str">
        <x:f>IF(A9="","",C9+D9-E9+F9-G9)</x:f>
      </x:c>
      <x:c r="I9" s="51"/>
      <x:c r="J9" s="11" t="str">
        <x:f>IF(A9="","",IF(H9&lt;0,"Ошибка: минус",IF(H9&lt;=I9,"Закупить","Достаточно")))</x:f>
      </x:c>
      <x:c r="K9" s="1"/>
      <x:c r="L9" s="1"/>
    </x:row>
    <x:row r="10" ht="23" customHeight="1">
      <x:c r="A10" s="51"/>
      <x:c r="B10" s="11" t="str">
        <x:f>IF(A10="","",_xlfn.IFNA(INDEX(Products[Товар],MATCH(A10,Products[SKU],0)),"Нет SKU"))</x:f>
      </x:c>
      <x:c r="C10" s="51"/>
      <x:c r="D10" s="11" t="str">
        <x:f>IF(A10="","",SUMIFS(Purchases[Количество],Purchases[SKU],A10))</x:f>
      </x:c>
      <x:c r="E10" s="11" t="str">
        <x:f>IF(A10="","",SUMIFS(Orders[Выбыло шт.],Orders[SKU],A10))</x:f>
      </x:c>
      <x:c r="F10" s="11" t="str">
        <x:f>IF(A10="","",SUMIFS(Orders[Возврат на склад шт.],Orders[SKU],A10,Orders[Статус],"Возврат"))</x:f>
      </x:c>
      <x:c r="G10" s="51"/>
      <x:c r="H10" s="11" t="str">
        <x:f>IF(A10="","",C10+D10-E10+F10-G10)</x:f>
      </x:c>
      <x:c r="I10" s="51"/>
      <x:c r="J10" s="11" t="str">
        <x:f>IF(A10="","",IF(H10&lt;0,"Ошибка: минус",IF(H10&lt;=I10,"Закупить","Достаточно")))</x:f>
      </x:c>
      <x:c r="K10" s="1"/>
      <x:c r="L10" s="1"/>
    </x:row>
    <x:row r="11" ht="23" customHeight="1">
      <x:c r="A11" s="51"/>
      <x:c r="B11" s="11" t="str">
        <x:f>IF(A11="","",_xlfn.IFNA(INDEX(Products[Товар],MATCH(A11,Products[SKU],0)),"Нет SKU"))</x:f>
      </x:c>
      <x:c r="C11" s="51"/>
      <x:c r="D11" s="11" t="str">
        <x:f>IF(A11="","",SUMIFS(Purchases[Количество],Purchases[SKU],A11))</x:f>
      </x:c>
      <x:c r="E11" s="11" t="str">
        <x:f>IF(A11="","",SUMIFS(Orders[Выбыло шт.],Orders[SKU],A11))</x:f>
      </x:c>
      <x:c r="F11" s="11" t="str">
        <x:f>IF(A11="","",SUMIFS(Orders[Возврат на склад шт.],Orders[SKU],A11,Orders[Статус],"Возврат"))</x:f>
      </x:c>
      <x:c r="G11" s="51"/>
      <x:c r="H11" s="11" t="str">
        <x:f>IF(A11="","",C11+D11-E11+F11-G11)</x:f>
      </x:c>
      <x:c r="I11" s="51"/>
      <x:c r="J11" s="11" t="str">
        <x:f>IF(A11="","",IF(H11&lt;0,"Ошибка: минус",IF(H11&lt;=I11,"Закупить","Достаточно")))</x:f>
      </x:c>
      <x:c r="K11" s="1"/>
      <x:c r="L11" s="1"/>
    </x:row>
    <x:row r="12" ht="23" customHeight="1">
      <x:c r="A12" s="51"/>
      <x:c r="B12" s="11" t="str">
        <x:f>IF(A12="","",_xlfn.IFNA(INDEX(Products[Товар],MATCH(A12,Products[SKU],0)),"Нет SKU"))</x:f>
      </x:c>
      <x:c r="C12" s="51"/>
      <x:c r="D12" s="11" t="str">
        <x:f>IF(A12="","",SUMIFS(Purchases[Количество],Purchases[SKU],A12))</x:f>
      </x:c>
      <x:c r="E12" s="11" t="str">
        <x:f>IF(A12="","",SUMIFS(Orders[Выбыло шт.],Orders[SKU],A12))</x:f>
      </x:c>
      <x:c r="F12" s="11" t="str">
        <x:f>IF(A12="","",SUMIFS(Orders[Возврат на склад шт.],Orders[SKU],A12,Orders[Статус],"Возврат"))</x:f>
      </x:c>
      <x:c r="G12" s="51"/>
      <x:c r="H12" s="11" t="str">
        <x:f>IF(A12="","",C12+D12-E12+F12-G12)</x:f>
      </x:c>
      <x:c r="I12" s="51"/>
      <x:c r="J12" s="11" t="str">
        <x:f>IF(A12="","",IF(H12&lt;0,"Ошибка: минус",IF(H12&lt;=I12,"Закупить","Достаточно")))</x:f>
      </x:c>
      <x:c r="K12" s="1"/>
      <x:c r="L12" s="1"/>
    </x:row>
    <x:row r="13" ht="23" customHeight="1">
      <x:c r="A13" s="51"/>
      <x:c r="B13" s="11" t="str">
        <x:f>IF(A13="","",_xlfn.IFNA(INDEX(Products[Товар],MATCH(A13,Products[SKU],0)),"Нет SKU"))</x:f>
      </x:c>
      <x:c r="C13" s="51"/>
      <x:c r="D13" s="11" t="str">
        <x:f>IF(A13="","",SUMIFS(Purchases[Количество],Purchases[SKU],A13))</x:f>
      </x:c>
      <x:c r="E13" s="11" t="str">
        <x:f>IF(A13="","",SUMIFS(Orders[Выбыло шт.],Orders[SKU],A13))</x:f>
      </x:c>
      <x:c r="F13" s="11" t="str">
        <x:f>IF(A13="","",SUMIFS(Orders[Возврат на склад шт.],Orders[SKU],A13,Orders[Статус],"Возврат"))</x:f>
      </x:c>
      <x:c r="G13" s="51"/>
      <x:c r="H13" s="11" t="str">
        <x:f>IF(A13="","",C13+D13-E13+F13-G13)</x:f>
      </x:c>
      <x:c r="I13" s="51"/>
      <x:c r="J13" s="11" t="str">
        <x:f>IF(A13="","",IF(H13&lt;0,"Ошибка: минус",IF(H13&lt;=I13,"Закупить","Достаточно")))</x:f>
      </x:c>
      <x:c r="K13" s="1"/>
      <x:c r="L13" s="1"/>
    </x:row>
    <x:row r="14" ht="23" customHeight="1">
      <x:c r="A14" s="51"/>
      <x:c r="B14" s="11" t="str">
        <x:f>IF(A14="","",_xlfn.IFNA(INDEX(Products[Товар],MATCH(A14,Products[SKU],0)),"Нет SKU"))</x:f>
      </x:c>
      <x:c r="C14" s="51"/>
      <x:c r="D14" s="11" t="str">
        <x:f>IF(A14="","",SUMIFS(Purchases[Количество],Purchases[SKU],A14))</x:f>
      </x:c>
      <x:c r="E14" s="11" t="str">
        <x:f>IF(A14="","",SUMIFS(Orders[Выбыло шт.],Orders[SKU],A14))</x:f>
      </x:c>
      <x:c r="F14" s="11" t="str">
        <x:f>IF(A14="","",SUMIFS(Orders[Возврат на склад шт.],Orders[SKU],A14,Orders[Статус],"Возврат"))</x:f>
      </x:c>
      <x:c r="G14" s="51"/>
      <x:c r="H14" s="11" t="str">
        <x:f>IF(A14="","",C14+D14-E14+F14-G14)</x:f>
      </x:c>
      <x:c r="I14" s="51"/>
      <x:c r="J14" s="11" t="str">
        <x:f>IF(A14="","",IF(H14&lt;0,"Ошибка: минус",IF(H14&lt;=I14,"Закупить","Достаточно")))</x:f>
      </x:c>
      <x:c r="K14" s="1"/>
      <x:c r="L14" s="1"/>
    </x:row>
    <x:row r="15" ht="23" customHeight="1">
      <x:c r="A15" s="51"/>
      <x:c r="B15" s="11" t="str">
        <x:f>IF(A15="","",_xlfn.IFNA(INDEX(Products[Товар],MATCH(A15,Products[SKU],0)),"Нет SKU"))</x:f>
      </x:c>
      <x:c r="C15" s="51"/>
      <x:c r="D15" s="11" t="str">
        <x:f>IF(A15="","",SUMIFS(Purchases[Количество],Purchases[SKU],A15))</x:f>
      </x:c>
      <x:c r="E15" s="11" t="str">
        <x:f>IF(A15="","",SUMIFS(Orders[Выбыло шт.],Orders[SKU],A15))</x:f>
      </x:c>
      <x:c r="F15" s="11" t="str">
        <x:f>IF(A15="","",SUMIFS(Orders[Возврат на склад шт.],Orders[SKU],A15,Orders[Статус],"Возврат"))</x:f>
      </x:c>
      <x:c r="G15" s="51"/>
      <x:c r="H15" s="11" t="str">
        <x:f>IF(A15="","",C15+D15-E15+F15-G15)</x:f>
      </x:c>
      <x:c r="I15" s="51"/>
      <x:c r="J15" s="11" t="str">
        <x:f>IF(A15="","",IF(H15&lt;0,"Ошибка: минус",IF(H15&lt;=I15,"Закупить","Достаточно")))</x:f>
      </x:c>
      <x:c r="K15" s="1"/>
      <x:c r="L15" s="1"/>
    </x:row>
    <x:row r="16" ht="23" customHeight="1">
      <x:c r="A16" s="51"/>
      <x:c r="B16" s="11" t="str">
        <x:f>IF(A16="","",_xlfn.IFNA(INDEX(Products[Товар],MATCH(A16,Products[SKU],0)),"Нет SKU"))</x:f>
      </x:c>
      <x:c r="C16" s="51"/>
      <x:c r="D16" s="11" t="str">
        <x:f>IF(A16="","",SUMIFS(Purchases[Количество],Purchases[SKU],A16))</x:f>
      </x:c>
      <x:c r="E16" s="11" t="str">
        <x:f>IF(A16="","",SUMIFS(Orders[Выбыло шт.],Orders[SKU],A16))</x:f>
      </x:c>
      <x:c r="F16" s="11" t="str">
        <x:f>IF(A16="","",SUMIFS(Orders[Возврат на склад шт.],Orders[SKU],A16,Orders[Статус],"Возврат"))</x:f>
      </x:c>
      <x:c r="G16" s="51"/>
      <x:c r="H16" s="11" t="str">
        <x:f>IF(A16="","",C16+D16-E16+F16-G16)</x:f>
      </x:c>
      <x:c r="I16" s="51"/>
      <x:c r="J16" s="11" t="str">
        <x:f>IF(A16="","",IF(H16&lt;0,"Ошибка: минус",IF(H16&lt;=I16,"Закупить","Достаточно")))</x:f>
      </x:c>
      <x:c r="K16" s="1"/>
      <x:c r="L16" s="1"/>
    </x:row>
    <x:row r="17" ht="23" customHeight="1">
      <x:c r="A17" s="51"/>
      <x:c r="B17" s="11" t="str">
        <x:f>IF(A17="","",_xlfn.IFNA(INDEX(Products[Товар],MATCH(A17,Products[SKU],0)),"Нет SKU"))</x:f>
      </x:c>
      <x:c r="C17" s="51"/>
      <x:c r="D17" s="11" t="str">
        <x:f>IF(A17="","",SUMIFS(Purchases[Количество],Purchases[SKU],A17))</x:f>
      </x:c>
      <x:c r="E17" s="11" t="str">
        <x:f>IF(A17="","",SUMIFS(Orders[Выбыло шт.],Orders[SKU],A17))</x:f>
      </x:c>
      <x:c r="F17" s="11" t="str">
        <x:f>IF(A17="","",SUMIFS(Orders[Возврат на склад шт.],Orders[SKU],A17,Orders[Статус],"Возврат"))</x:f>
      </x:c>
      <x:c r="G17" s="51"/>
      <x:c r="H17" s="11" t="str">
        <x:f>IF(A17="","",C17+D17-E17+F17-G17)</x:f>
      </x:c>
      <x:c r="I17" s="51"/>
      <x:c r="J17" s="11" t="str">
        <x:f>IF(A17="","",IF(H17&lt;0,"Ошибка: минус",IF(H17&lt;=I17,"Закупить","Достаточно")))</x:f>
      </x:c>
      <x:c r="K17" s="1"/>
      <x:c r="L17" s="1"/>
    </x:row>
    <x:row r="18" ht="23" customHeight="1">
      <x:c r="A18" s="51"/>
      <x:c r="B18" s="11" t="str">
        <x:f>IF(A18="","",_xlfn.IFNA(INDEX(Products[Товар],MATCH(A18,Products[SKU],0)),"Нет SKU"))</x:f>
      </x:c>
      <x:c r="C18" s="51"/>
      <x:c r="D18" s="11" t="str">
        <x:f>IF(A18="","",SUMIFS(Purchases[Количество],Purchases[SKU],A18))</x:f>
      </x:c>
      <x:c r="E18" s="11" t="str">
        <x:f>IF(A18="","",SUMIFS(Orders[Выбыло шт.],Orders[SKU],A18))</x:f>
      </x:c>
      <x:c r="F18" s="11" t="str">
        <x:f>IF(A18="","",SUMIFS(Orders[Возврат на склад шт.],Orders[SKU],A18,Orders[Статус],"Возврат"))</x:f>
      </x:c>
      <x:c r="G18" s="51"/>
      <x:c r="H18" s="11" t="str">
        <x:f>IF(A18="","",C18+D18-E18+F18-G18)</x:f>
      </x:c>
      <x:c r="I18" s="51"/>
      <x:c r="J18" s="11" t="str">
        <x:f>IF(A18="","",IF(H18&lt;0,"Ошибка: минус",IF(H18&lt;=I18,"Закупить","Достаточно")))</x:f>
      </x:c>
      <x:c r="K18" s="1"/>
      <x:c r="L18" s="1"/>
    </x:row>
    <x:row r="19" ht="23" customHeight="1">
      <x:c r="A19" s="51"/>
      <x:c r="B19" s="11" t="str">
        <x:f>IF(A19="","",_xlfn.IFNA(INDEX(Products[Товар],MATCH(A19,Products[SKU],0)),"Нет SKU"))</x:f>
      </x:c>
      <x:c r="C19" s="51"/>
      <x:c r="D19" s="11" t="str">
        <x:f>IF(A19="","",SUMIFS(Purchases[Количество],Purchases[SKU],A19))</x:f>
      </x:c>
      <x:c r="E19" s="11" t="str">
        <x:f>IF(A19="","",SUMIFS(Orders[Выбыло шт.],Orders[SKU],A19))</x:f>
      </x:c>
      <x:c r="F19" s="11" t="str">
        <x:f>IF(A19="","",SUMIFS(Orders[Возврат на склад шт.],Orders[SKU],A19,Orders[Статус],"Возврат"))</x:f>
      </x:c>
      <x:c r="G19" s="51"/>
      <x:c r="H19" s="11" t="str">
        <x:f>IF(A19="","",C19+D19-E19+F19-G19)</x:f>
      </x:c>
      <x:c r="I19" s="51"/>
      <x:c r="J19" s="11" t="str">
        <x:f>IF(A19="","",IF(H19&lt;0,"Ошибка: минус",IF(H19&lt;=I19,"Закупить","Достаточно")))</x:f>
      </x:c>
      <x:c r="K19" s="1"/>
      <x:c r="L19" s="1"/>
    </x:row>
    <x:row r="20" ht="23" customHeight="1">
      <x:c r="A20" s="51"/>
      <x:c r="B20" s="11" t="str">
        <x:f>IF(A20="","",_xlfn.IFNA(INDEX(Products[Товар],MATCH(A20,Products[SKU],0)),"Нет SKU"))</x:f>
      </x:c>
      <x:c r="C20" s="51"/>
      <x:c r="D20" s="11" t="str">
        <x:f>IF(A20="","",SUMIFS(Purchases[Количество],Purchases[SKU],A20))</x:f>
      </x:c>
      <x:c r="E20" s="11" t="str">
        <x:f>IF(A20="","",SUMIFS(Orders[Выбыло шт.],Orders[SKU],A20))</x:f>
      </x:c>
      <x:c r="F20" s="11" t="str">
        <x:f>IF(A20="","",SUMIFS(Orders[Возврат на склад шт.],Orders[SKU],A20,Orders[Статус],"Возврат"))</x:f>
      </x:c>
      <x:c r="G20" s="51"/>
      <x:c r="H20" s="11" t="str">
        <x:f>IF(A20="","",C20+D20-E20+F20-G20)</x:f>
      </x:c>
      <x:c r="I20" s="51"/>
      <x:c r="J20" s="11" t="str">
        <x:f>IF(A20="","",IF(H20&lt;0,"Ошибка: минус",IF(H20&lt;=I20,"Закупить","Достаточно")))</x:f>
      </x:c>
      <x:c r="K20" s="1"/>
      <x:c r="L20" s="1"/>
    </x:row>
    <x:row r="21" ht="23" customHeight="1">
      <x:c r="A21" s="51"/>
      <x:c r="B21" s="11" t="str">
        <x:f>IF(A21="","",_xlfn.IFNA(INDEX(Products[Товар],MATCH(A21,Products[SKU],0)),"Нет SKU"))</x:f>
      </x:c>
      <x:c r="C21" s="51"/>
      <x:c r="D21" s="11" t="str">
        <x:f>IF(A21="","",SUMIFS(Purchases[Количество],Purchases[SKU],A21))</x:f>
      </x:c>
      <x:c r="E21" s="11" t="str">
        <x:f>IF(A21="","",SUMIFS(Orders[Выбыло шт.],Orders[SKU],A21))</x:f>
      </x:c>
      <x:c r="F21" s="11" t="str">
        <x:f>IF(A21="","",SUMIFS(Orders[Возврат на склад шт.],Orders[SKU],A21,Orders[Статус],"Возврат"))</x:f>
      </x:c>
      <x:c r="G21" s="51"/>
      <x:c r="H21" s="11" t="str">
        <x:f>IF(A21="","",C21+D21-E21+F21-G21)</x:f>
      </x:c>
      <x:c r="I21" s="51"/>
      <x:c r="J21" s="11" t="str">
        <x:f>IF(A21="","",IF(H21&lt;0,"Ошибка: минус",IF(H21&lt;=I21,"Закупить","Достаточно")))</x:f>
      </x:c>
      <x:c r="K21" s="1"/>
      <x:c r="L21" s="1"/>
    </x:row>
    <x:row r="22" ht="23" customHeight="1">
      <x:c r="A22" s="51"/>
      <x:c r="B22" s="11" t="str">
        <x:f>IF(A22="","",_xlfn.IFNA(INDEX(Products[Товар],MATCH(A22,Products[SKU],0)),"Нет SKU"))</x:f>
      </x:c>
      <x:c r="C22" s="51"/>
      <x:c r="D22" s="11" t="str">
        <x:f>IF(A22="","",SUMIFS(Purchases[Количество],Purchases[SKU],A22))</x:f>
      </x:c>
      <x:c r="E22" s="11" t="str">
        <x:f>IF(A22="","",SUMIFS(Orders[Выбыло шт.],Orders[SKU],A22))</x:f>
      </x:c>
      <x:c r="F22" s="11" t="str">
        <x:f>IF(A22="","",SUMIFS(Orders[Возврат на склад шт.],Orders[SKU],A22,Orders[Статус],"Возврат"))</x:f>
      </x:c>
      <x:c r="G22" s="51"/>
      <x:c r="H22" s="11" t="str">
        <x:f>IF(A22="","",C22+D22-E22+F22-G22)</x:f>
      </x:c>
      <x:c r="I22" s="51"/>
      <x:c r="J22" s="11" t="str">
        <x:f>IF(A22="","",IF(H22&lt;0,"Ошибка: минус",IF(H22&lt;=I22,"Закупить","Достаточно")))</x:f>
      </x:c>
      <x:c r="K22" s="1"/>
      <x:c r="L22" s="1"/>
    </x:row>
    <x:row r="23" ht="23" customHeight="1">
      <x:c r="A23" s="51"/>
      <x:c r="B23" s="11" t="str">
        <x:f>IF(A23="","",_xlfn.IFNA(INDEX(Products[Товар],MATCH(A23,Products[SKU],0)),"Нет SKU"))</x:f>
      </x:c>
      <x:c r="C23" s="51"/>
      <x:c r="D23" s="11" t="str">
        <x:f>IF(A23="","",SUMIFS(Purchases[Количество],Purchases[SKU],A23))</x:f>
      </x:c>
      <x:c r="E23" s="11" t="str">
        <x:f>IF(A23="","",SUMIFS(Orders[Выбыло шт.],Orders[SKU],A23))</x:f>
      </x:c>
      <x:c r="F23" s="11" t="str">
        <x:f>IF(A23="","",SUMIFS(Orders[Возврат на склад шт.],Orders[SKU],A23,Orders[Статус],"Возврат"))</x:f>
      </x:c>
      <x:c r="G23" s="51"/>
      <x:c r="H23" s="11" t="str">
        <x:f>IF(A23="","",C23+D23-E23+F23-G23)</x:f>
      </x:c>
      <x:c r="I23" s="51"/>
      <x:c r="J23" s="11" t="str">
        <x:f>IF(A23="","",IF(H23&lt;0,"Ошибка: минус",IF(H23&lt;=I23,"Закупить","Достаточно")))</x:f>
      </x:c>
      <x:c r="K23" s="1"/>
      <x:c r="L23" s="1"/>
    </x:row>
    <x:row r="24" ht="23" customHeight="1">
      <x:c r="A24" s="51"/>
      <x:c r="B24" s="11" t="str">
        <x:f>IF(A24="","",_xlfn.IFNA(INDEX(Products[Товар],MATCH(A24,Products[SKU],0)),"Нет SKU"))</x:f>
      </x:c>
      <x:c r="C24" s="51"/>
      <x:c r="D24" s="11" t="str">
        <x:f>IF(A24="","",SUMIFS(Purchases[Количество],Purchases[SKU],A24))</x:f>
      </x:c>
      <x:c r="E24" s="11" t="str">
        <x:f>IF(A24="","",SUMIFS(Orders[Выбыло шт.],Orders[SKU],A24))</x:f>
      </x:c>
      <x:c r="F24" s="11" t="str">
        <x:f>IF(A24="","",SUMIFS(Orders[Возврат на склад шт.],Orders[SKU],A24,Orders[Статус],"Возврат"))</x:f>
      </x:c>
      <x:c r="G24" s="51"/>
      <x:c r="H24" s="11" t="str">
        <x:f>IF(A24="","",C24+D24-E24+F24-G24)</x:f>
      </x:c>
      <x:c r="I24" s="51"/>
      <x:c r="J24" s="11" t="str">
        <x:f>IF(A24="","",IF(H24&lt;0,"Ошибка: минус",IF(H24&lt;=I24,"Закупить","Достаточно")))</x:f>
      </x:c>
      <x:c r="K24" s="1"/>
      <x:c r="L24" s="1"/>
    </x:row>
    <x:row r="25" ht="23" customHeight="1">
      <x:c r="A25" s="51"/>
      <x:c r="B25" s="11" t="str">
        <x:f>IF(A25="","",_xlfn.IFNA(INDEX(Products[Товар],MATCH(A25,Products[SKU],0)),"Нет SKU"))</x:f>
      </x:c>
      <x:c r="C25" s="51"/>
      <x:c r="D25" s="11" t="str">
        <x:f>IF(A25="","",SUMIFS(Purchases[Количество],Purchases[SKU],A25))</x:f>
      </x:c>
      <x:c r="E25" s="11" t="str">
        <x:f>IF(A25="","",SUMIFS(Orders[Выбыло шт.],Orders[SKU],A25))</x:f>
      </x:c>
      <x:c r="F25" s="11" t="str">
        <x:f>IF(A25="","",SUMIFS(Orders[Возврат на склад шт.],Orders[SKU],A25,Orders[Статус],"Возврат"))</x:f>
      </x:c>
      <x:c r="G25" s="51"/>
      <x:c r="H25" s="11" t="str">
        <x:f>IF(A25="","",C25+D25-E25+F25-G25)</x:f>
      </x:c>
      <x:c r="I25" s="51"/>
      <x:c r="J25" s="11" t="str">
        <x:f>IF(A25="","",IF(H25&lt;0,"Ошибка: минус",IF(H25&lt;=I25,"Закупить","Достаточно")))</x:f>
      </x:c>
      <x:c r="K25" s="1"/>
      <x:c r="L25" s="1"/>
    </x:row>
    <x:row r="26" ht="23" customHeight="1">
      <x:c r="A26" s="51"/>
      <x:c r="B26" s="11" t="str">
        <x:f>IF(A26="","",_xlfn.IFNA(INDEX(Products[Товар],MATCH(A26,Products[SKU],0)),"Нет SKU"))</x:f>
      </x:c>
      <x:c r="C26" s="51"/>
      <x:c r="D26" s="11" t="str">
        <x:f>IF(A26="","",SUMIFS(Purchases[Количество],Purchases[SKU],A26))</x:f>
      </x:c>
      <x:c r="E26" s="11" t="str">
        <x:f>IF(A26="","",SUMIFS(Orders[Выбыло шт.],Orders[SKU],A26))</x:f>
      </x:c>
      <x:c r="F26" s="11" t="str">
        <x:f>IF(A26="","",SUMIFS(Orders[Возврат на склад шт.],Orders[SKU],A26,Orders[Статус],"Возврат"))</x:f>
      </x:c>
      <x:c r="G26" s="51"/>
      <x:c r="H26" s="11" t="str">
        <x:f>IF(A26="","",C26+D26-E26+F26-G26)</x:f>
      </x:c>
      <x:c r="I26" s="51"/>
      <x:c r="J26" s="11" t="str">
        <x:f>IF(A26="","",IF(H26&lt;0,"Ошибка: минус",IF(H26&lt;=I26,"Закупить","Достаточно")))</x:f>
      </x:c>
      <x:c r="K26" s="1"/>
      <x:c r="L26" s="1"/>
    </x:row>
    <x:row r="27" ht="23" customHeight="1">
      <x:c r="A27" s="51"/>
      <x:c r="B27" s="11" t="str">
        <x:f>IF(A27="","",_xlfn.IFNA(INDEX(Products[Товар],MATCH(A27,Products[SKU],0)),"Нет SKU"))</x:f>
      </x:c>
      <x:c r="C27" s="51"/>
      <x:c r="D27" s="11" t="str">
        <x:f>IF(A27="","",SUMIFS(Purchases[Количество],Purchases[SKU],A27))</x:f>
      </x:c>
      <x:c r="E27" s="11" t="str">
        <x:f>IF(A27="","",SUMIFS(Orders[Выбыло шт.],Orders[SKU],A27))</x:f>
      </x:c>
      <x:c r="F27" s="11" t="str">
        <x:f>IF(A27="","",SUMIFS(Orders[Возврат на склад шт.],Orders[SKU],A27,Orders[Статус],"Возврат"))</x:f>
      </x:c>
      <x:c r="G27" s="51"/>
      <x:c r="H27" s="11" t="str">
        <x:f>IF(A27="","",C27+D27-E27+F27-G27)</x:f>
      </x:c>
      <x:c r="I27" s="51"/>
      <x:c r="J27" s="11" t="str">
        <x:f>IF(A27="","",IF(H27&lt;0,"Ошибка: минус",IF(H27&lt;=I27,"Закупить","Достаточно")))</x:f>
      </x:c>
      <x:c r="K27" s="1"/>
      <x:c r="L27" s="1"/>
    </x:row>
    <x:row r="28" ht="23" customHeight="1">
      <x:c r="A28" s="51"/>
      <x:c r="B28" s="11" t="str">
        <x:f>IF(A28="","",_xlfn.IFNA(INDEX(Products[Товар],MATCH(A28,Products[SKU],0)),"Нет SKU"))</x:f>
      </x:c>
      <x:c r="C28" s="51"/>
      <x:c r="D28" s="11" t="str">
        <x:f>IF(A28="","",SUMIFS(Purchases[Количество],Purchases[SKU],A28))</x:f>
      </x:c>
      <x:c r="E28" s="11" t="str">
        <x:f>IF(A28="","",SUMIFS(Orders[Выбыло шт.],Orders[SKU],A28))</x:f>
      </x:c>
      <x:c r="F28" s="11" t="str">
        <x:f>IF(A28="","",SUMIFS(Orders[Возврат на склад шт.],Orders[SKU],A28,Orders[Статус],"Возврат"))</x:f>
      </x:c>
      <x:c r="G28" s="51"/>
      <x:c r="H28" s="11" t="str">
        <x:f>IF(A28="","",C28+D28-E28+F28-G28)</x:f>
      </x:c>
      <x:c r="I28" s="51"/>
      <x:c r="J28" s="11" t="str">
        <x:f>IF(A28="","",IF(H28&lt;0,"Ошибка: минус",IF(H28&lt;=I28,"Закупить","Достаточно")))</x:f>
      </x:c>
      <x:c r="K28" s="1"/>
      <x:c r="L28" s="1"/>
    </x:row>
    <x:row r="29" ht="23" customHeight="1">
      <x:c r="A29" s="51"/>
      <x:c r="B29" s="11" t="str">
        <x:f>IF(A29="","",_xlfn.IFNA(INDEX(Products[Товар],MATCH(A29,Products[SKU],0)),"Нет SKU"))</x:f>
      </x:c>
      <x:c r="C29" s="51"/>
      <x:c r="D29" s="11" t="str">
        <x:f>IF(A29="","",SUMIFS(Purchases[Количество],Purchases[SKU],A29))</x:f>
      </x:c>
      <x:c r="E29" s="11" t="str">
        <x:f>IF(A29="","",SUMIFS(Orders[Выбыло шт.],Orders[SKU],A29))</x:f>
      </x:c>
      <x:c r="F29" s="11" t="str">
        <x:f>IF(A29="","",SUMIFS(Orders[Возврат на склад шт.],Orders[SKU],A29,Orders[Статус],"Возврат"))</x:f>
      </x:c>
      <x:c r="G29" s="51"/>
      <x:c r="H29" s="11" t="str">
        <x:f>IF(A29="","",C29+D29-E29+F29-G29)</x:f>
      </x:c>
      <x:c r="I29" s="51"/>
      <x:c r="J29" s="11" t="str">
        <x:f>IF(A29="","",IF(H29&lt;0,"Ошибка: минус",IF(H29&lt;=I29,"Закупить","Достаточно")))</x:f>
      </x:c>
      <x:c r="K29" s="1"/>
      <x:c r="L29" s="1"/>
    </x:row>
    <x:row r="30" ht="23" customHeight="1">
      <x:c r="A30" s="51"/>
      <x:c r="B30" s="11" t="str">
        <x:f>IF(A30="","",_xlfn.IFNA(INDEX(Products[Товар],MATCH(A30,Products[SKU],0)),"Нет SKU"))</x:f>
      </x:c>
      <x:c r="C30" s="51"/>
      <x:c r="D30" s="11" t="str">
        <x:f>IF(A30="","",SUMIFS(Purchases[Количество],Purchases[SKU],A30))</x:f>
      </x:c>
      <x:c r="E30" s="11" t="str">
        <x:f>IF(A30="","",SUMIFS(Orders[Выбыло шт.],Orders[SKU],A30))</x:f>
      </x:c>
      <x:c r="F30" s="11" t="str">
        <x:f>IF(A30="","",SUMIFS(Orders[Возврат на склад шт.],Orders[SKU],A30,Orders[Статус],"Возврат"))</x:f>
      </x:c>
      <x:c r="G30" s="51"/>
      <x:c r="H30" s="11" t="str">
        <x:f>IF(A30="","",C30+D30-E30+F30-G30)</x:f>
      </x:c>
      <x:c r="I30" s="51"/>
      <x:c r="J30" s="11" t="str">
        <x:f>IF(A30="","",IF(H30&lt;0,"Ошибка: минус",IF(H30&lt;=I30,"Закупить","Достаточно")))</x:f>
      </x:c>
      <x:c r="K30" s="1"/>
      <x:c r="L30" s="1"/>
    </x:row>
    <x:row r="31" ht="23" customHeight="1">
      <x:c r="A31" s="51"/>
      <x:c r="B31" s="11" t="str">
        <x:f>IF(A31="","",_xlfn.IFNA(INDEX(Products[Товар],MATCH(A31,Products[SKU],0)),"Нет SKU"))</x:f>
      </x:c>
      <x:c r="C31" s="51"/>
      <x:c r="D31" s="11" t="str">
        <x:f>IF(A31="","",SUMIFS(Purchases[Количество],Purchases[SKU],A31))</x:f>
      </x:c>
      <x:c r="E31" s="11" t="str">
        <x:f>IF(A31="","",SUMIFS(Orders[Выбыло шт.],Orders[SKU],A31))</x:f>
      </x:c>
      <x:c r="F31" s="11" t="str">
        <x:f>IF(A31="","",SUMIFS(Orders[Возврат на склад шт.],Orders[SKU],A31,Orders[Статус],"Возврат"))</x:f>
      </x:c>
      <x:c r="G31" s="51"/>
      <x:c r="H31" s="11" t="str">
        <x:f>IF(A31="","",C31+D31-E31+F31-G31)</x:f>
      </x:c>
      <x:c r="I31" s="51"/>
      <x:c r="J31" s="11" t="str">
        <x:f>IF(A31="","",IF(H31&lt;0,"Ошибка: минус",IF(H31&lt;=I31,"Закупить","Достаточно")))</x:f>
      </x:c>
    </x:row>
    <x:row r="32" ht="23" customHeight="1">
      <x:c r="A32" s="51"/>
      <x:c r="B32" s="11" t="str">
        <x:f>IF(A32="","",_xlfn.IFNA(INDEX(Products[Товар],MATCH(A32,Products[SKU],0)),"Нет SKU"))</x:f>
      </x:c>
      <x:c r="C32" s="51"/>
      <x:c r="D32" s="11" t="str">
        <x:f>IF(A32="","",SUMIFS(Purchases[Количество],Purchases[SKU],A32))</x:f>
      </x:c>
      <x:c r="E32" s="11" t="str">
        <x:f>IF(A32="","",SUMIFS(Orders[Выбыло шт.],Orders[SKU],A32))</x:f>
      </x:c>
      <x:c r="F32" s="11" t="str">
        <x:f>IF(A32="","",SUMIFS(Orders[Возврат на склад шт.],Orders[SKU],A32,Orders[Статус],"Возврат"))</x:f>
      </x:c>
      <x:c r="G32" s="51"/>
      <x:c r="H32" s="11" t="str">
        <x:f>IF(A32="","",C32+D32-E32+F32-G32)</x:f>
      </x:c>
      <x:c r="I32" s="51"/>
      <x:c r="J32" s="11" t="str">
        <x:f>IF(A32="","",IF(H32&lt;0,"Ошибка: минус",IF(H32&lt;=I32,"Закупить","Достаточно")))</x:f>
      </x:c>
    </x:row>
    <x:row r="33" ht="23" customHeight="1">
      <x:c r="A33" s="51"/>
      <x:c r="B33" s="11" t="str">
        <x:f>IF(A33="","",_xlfn.IFNA(INDEX(Products[Товар],MATCH(A33,Products[SKU],0)),"Нет SKU"))</x:f>
      </x:c>
      <x:c r="C33" s="51"/>
      <x:c r="D33" s="11" t="str">
        <x:f>IF(A33="","",SUMIFS(Purchases[Количество],Purchases[SKU],A33))</x:f>
      </x:c>
      <x:c r="E33" s="11" t="str">
        <x:f>IF(A33="","",SUMIFS(Orders[Выбыло шт.],Orders[SKU],A33))</x:f>
      </x:c>
      <x:c r="F33" s="11" t="str">
        <x:f>IF(A33="","",SUMIFS(Orders[Возврат на склад шт.],Orders[SKU],A33,Orders[Статус],"Возврат"))</x:f>
      </x:c>
      <x:c r="G33" s="51"/>
      <x:c r="H33" s="11" t="str">
        <x:f>IF(A33="","",C33+D33-E33+F33-G33)</x:f>
      </x:c>
      <x:c r="I33" s="51"/>
      <x:c r="J33" s="11" t="str">
        <x:f>IF(A33="","",IF(H33&lt;0,"Ошибка: минус",IF(H33&lt;=I33,"Закупить","Достаточно")))</x:f>
      </x:c>
    </x:row>
    <x:row r="34" ht="23" customHeight="1">
      <x:c r="A34" s="51"/>
      <x:c r="B34" s="11" t="str">
        <x:f>IF(A34="","",_xlfn.IFNA(INDEX(Products[Товар],MATCH(A34,Products[SKU],0)),"Нет SKU"))</x:f>
      </x:c>
      <x:c r="C34" s="51"/>
      <x:c r="D34" s="11" t="str">
        <x:f>IF(A34="","",SUMIFS(Purchases[Количество],Purchases[SKU],A34))</x:f>
      </x:c>
      <x:c r="E34" s="11" t="str">
        <x:f>IF(A34="","",SUMIFS(Orders[Выбыло шт.],Orders[SKU],A34))</x:f>
      </x:c>
      <x:c r="F34" s="11" t="str">
        <x:f>IF(A34="","",SUMIFS(Orders[Возврат на склад шт.],Orders[SKU],A34,Orders[Статус],"Возврат"))</x:f>
      </x:c>
      <x:c r="G34" s="51"/>
      <x:c r="H34" s="11" t="str">
        <x:f>IF(A34="","",C34+D34-E34+F34-G34)</x:f>
      </x:c>
      <x:c r="I34" s="51"/>
      <x:c r="J34" s="11" t="str">
        <x:f>IF(A34="","",IF(H34&lt;0,"Ошибка: минус",IF(H34&lt;=I34,"Закупить","Достаточно")))</x:f>
      </x:c>
    </x:row>
    <x:row r="35" ht="23" customHeight="1">
      <x:c r="A35" s="51"/>
      <x:c r="B35" s="11" t="str">
        <x:f>IF(A35="","",_xlfn.IFNA(INDEX(Products[Товар],MATCH(A35,Products[SKU],0)),"Нет SKU"))</x:f>
      </x:c>
      <x:c r="C35" s="51"/>
      <x:c r="D35" s="11" t="str">
        <x:f>IF(A35="","",SUMIFS(Purchases[Количество],Purchases[SKU],A35))</x:f>
      </x:c>
      <x:c r="E35" s="11" t="str">
        <x:f>IF(A35="","",SUMIFS(Orders[Выбыло шт.],Orders[SKU],A35))</x:f>
      </x:c>
      <x:c r="F35" s="11" t="str">
        <x:f>IF(A35="","",SUMIFS(Orders[Возврат на склад шт.],Orders[SKU],A35,Orders[Статус],"Возврат"))</x:f>
      </x:c>
      <x:c r="G35" s="51"/>
      <x:c r="H35" s="11" t="str">
        <x:f>IF(A35="","",C35+D35-E35+F35-G35)</x:f>
      </x:c>
      <x:c r="I35" s="51"/>
      <x:c r="J35" s="11" t="str">
        <x:f>IF(A35="","",IF(H35&lt;0,"Ошибка: минус",IF(H35&lt;=I35,"Закупить","Достаточно")))</x:f>
      </x:c>
    </x:row>
    <x:row r="36" ht="23" customHeight="1">
      <x:c r="A36" s="51"/>
      <x:c r="B36" s="11" t="str">
        <x:f>IF(A36="","",_xlfn.IFNA(INDEX(Products[Товар],MATCH(A36,Products[SKU],0)),"Нет SKU"))</x:f>
      </x:c>
      <x:c r="C36" s="51"/>
      <x:c r="D36" s="11" t="str">
        <x:f>IF(A36="","",SUMIFS(Purchases[Количество],Purchases[SKU],A36))</x:f>
      </x:c>
      <x:c r="E36" s="11" t="str">
        <x:f>IF(A36="","",SUMIFS(Orders[Выбыло шт.],Orders[SKU],A36))</x:f>
      </x:c>
      <x:c r="F36" s="11" t="str">
        <x:f>IF(A36="","",SUMIFS(Orders[Возврат на склад шт.],Orders[SKU],A36,Orders[Статус],"Возврат"))</x:f>
      </x:c>
      <x:c r="G36" s="51"/>
      <x:c r="H36" s="11" t="str">
        <x:f>IF(A36="","",C36+D36-E36+F36-G36)</x:f>
      </x:c>
      <x:c r="I36" s="51"/>
      <x:c r="J36" s="11" t="str">
        <x:f>IF(A36="","",IF(H36&lt;0,"Ошибка: минус",IF(H36&lt;=I36,"Закупить","Достаточно")))</x:f>
      </x:c>
    </x:row>
    <x:row r="37" ht="23" customHeight="1">
      <x:c r="A37" s="51"/>
      <x:c r="B37" s="11" t="str">
        <x:f>IF(A37="","",_xlfn.IFNA(INDEX(Products[Товар],MATCH(A37,Products[SKU],0)),"Нет SKU"))</x:f>
      </x:c>
      <x:c r="C37" s="51"/>
      <x:c r="D37" s="11" t="str">
        <x:f>IF(A37="","",SUMIFS(Purchases[Количество],Purchases[SKU],A37))</x:f>
      </x:c>
      <x:c r="E37" s="11" t="str">
        <x:f>IF(A37="","",SUMIFS(Orders[Выбыло шт.],Orders[SKU],A37))</x:f>
      </x:c>
      <x:c r="F37" s="11" t="str">
        <x:f>IF(A37="","",SUMIFS(Orders[Возврат на склад шт.],Orders[SKU],A37,Orders[Статус],"Возврат"))</x:f>
      </x:c>
      <x:c r="G37" s="51"/>
      <x:c r="H37" s="11" t="str">
        <x:f>IF(A37="","",C37+D37-E37+F37-G37)</x:f>
      </x:c>
      <x:c r="I37" s="51"/>
      <x:c r="J37" s="11" t="str">
        <x:f>IF(A37="","",IF(H37&lt;0,"Ошибка: минус",IF(H37&lt;=I37,"Закупить","Достаточно")))</x:f>
      </x:c>
    </x:row>
    <x:row r="38" ht="23" customHeight="1">
      <x:c r="A38" s="51"/>
      <x:c r="B38" s="11" t="str">
        <x:f>IF(A38="","",_xlfn.IFNA(INDEX(Products[Товар],MATCH(A38,Products[SKU],0)),"Нет SKU"))</x:f>
      </x:c>
      <x:c r="C38" s="51"/>
      <x:c r="D38" s="11" t="str">
        <x:f>IF(A38="","",SUMIFS(Purchases[Количество],Purchases[SKU],A38))</x:f>
      </x:c>
      <x:c r="E38" s="11" t="str">
        <x:f>IF(A38="","",SUMIFS(Orders[Выбыло шт.],Orders[SKU],A38))</x:f>
      </x:c>
      <x:c r="F38" s="11" t="str">
        <x:f>IF(A38="","",SUMIFS(Orders[Возврат на склад шт.],Orders[SKU],A38,Orders[Статус],"Возврат"))</x:f>
      </x:c>
      <x:c r="G38" s="51"/>
      <x:c r="H38" s="11" t="str">
        <x:f>IF(A38="","",C38+D38-E38+F38-G38)</x:f>
      </x:c>
      <x:c r="I38" s="51"/>
      <x:c r="J38" s="11" t="str">
        <x:f>IF(A38="","",IF(H38&lt;0,"Ошибка: минус",IF(H38&lt;=I38,"Закупить","Достаточно")))</x:f>
      </x:c>
    </x:row>
    <x:row r="39" ht="23" customHeight="1">
      <x:c r="A39" s="51"/>
      <x:c r="B39" s="11" t="str">
        <x:f>IF(A39="","",_xlfn.IFNA(INDEX(Products[Товар],MATCH(A39,Products[SKU],0)),"Нет SKU"))</x:f>
      </x:c>
      <x:c r="C39" s="51"/>
      <x:c r="D39" s="11" t="str">
        <x:f>IF(A39="","",SUMIFS(Purchases[Количество],Purchases[SKU],A39))</x:f>
      </x:c>
      <x:c r="E39" s="11" t="str">
        <x:f>IF(A39="","",SUMIFS(Orders[Выбыло шт.],Orders[SKU],A39))</x:f>
      </x:c>
      <x:c r="F39" s="11" t="str">
        <x:f>IF(A39="","",SUMIFS(Orders[Возврат на склад шт.],Orders[SKU],A39,Orders[Статус],"Возврат"))</x:f>
      </x:c>
      <x:c r="G39" s="51"/>
      <x:c r="H39" s="11" t="str">
        <x:f>IF(A39="","",C39+D39-E39+F39-G39)</x:f>
      </x:c>
      <x:c r="I39" s="51"/>
      <x:c r="J39" s="11" t="str">
        <x:f>IF(A39="","",IF(H39&lt;0,"Ошибка: минус",IF(H39&lt;=I39,"Закупить","Достаточно")))</x:f>
      </x:c>
    </x:row>
    <x:row r="40" ht="23" customHeight="1">
      <x:c r="A40" s="51"/>
      <x:c r="B40" s="11" t="str">
        <x:f>IF(A40="","",_xlfn.IFNA(INDEX(Products[Товар],MATCH(A40,Products[SKU],0)),"Нет SKU"))</x:f>
      </x:c>
      <x:c r="C40" s="51"/>
      <x:c r="D40" s="11" t="str">
        <x:f>IF(A40="","",SUMIFS(Purchases[Количество],Purchases[SKU],A40))</x:f>
      </x:c>
      <x:c r="E40" s="11" t="str">
        <x:f>IF(A40="","",SUMIFS(Orders[Выбыло шт.],Orders[SKU],A40))</x:f>
      </x:c>
      <x:c r="F40" s="11" t="str">
        <x:f>IF(A40="","",SUMIFS(Orders[Возврат на склад шт.],Orders[SKU],A40,Orders[Статус],"Возврат"))</x:f>
      </x:c>
      <x:c r="G40" s="51"/>
      <x:c r="H40" s="11" t="str">
        <x:f>IF(A40="","",C40+D40-E40+F40-G40)</x:f>
      </x:c>
      <x:c r="I40" s="51"/>
      <x:c r="J40" s="11" t="str">
        <x:f>IF(A40="","",IF(H40&lt;0,"Ошибка: минус",IF(H40&lt;=I40,"Закупить","Достаточно")))</x:f>
      </x:c>
    </x:row>
    <x:row r="41" ht="23" customHeight="1">
      <x:c r="A41" s="51"/>
      <x:c r="B41" s="11" t="str">
        <x:f>IF(A41="","",_xlfn.IFNA(INDEX(Products[Товар],MATCH(A41,Products[SKU],0)),"Нет SKU"))</x:f>
      </x:c>
      <x:c r="C41" s="51"/>
      <x:c r="D41" s="11" t="str">
        <x:f>IF(A41="","",SUMIFS(Purchases[Количество],Purchases[SKU],A41))</x:f>
      </x:c>
      <x:c r="E41" s="11" t="str">
        <x:f>IF(A41="","",SUMIFS(Orders[Выбыло шт.],Orders[SKU],A41))</x:f>
      </x:c>
      <x:c r="F41" s="11" t="str">
        <x:f>IF(A41="","",SUMIFS(Orders[Возврат на склад шт.],Orders[SKU],A41,Orders[Статус],"Возврат"))</x:f>
      </x:c>
      <x:c r="G41" s="51"/>
      <x:c r="H41" s="11" t="str">
        <x:f>IF(A41="","",C41+D41-E41+F41-G41)</x:f>
      </x:c>
      <x:c r="I41" s="51"/>
      <x:c r="J41" s="11" t="str">
        <x:f>IF(A41="","",IF(H41&lt;0,"Ошибка: минус",IF(H41&lt;=I41,"Закупить","Достаточно")))</x:f>
      </x:c>
    </x:row>
    <x:row r="42" ht="23" customHeight="1">
      <x:c r="A42" s="51"/>
      <x:c r="B42" s="11" t="str">
        <x:f>IF(A42="","",_xlfn.IFNA(INDEX(Products[Товар],MATCH(A42,Products[SKU],0)),"Нет SKU"))</x:f>
      </x:c>
      <x:c r="C42" s="51"/>
      <x:c r="D42" s="11" t="str">
        <x:f>IF(A42="","",SUMIFS(Purchases[Количество],Purchases[SKU],A42))</x:f>
      </x:c>
      <x:c r="E42" s="11" t="str">
        <x:f>IF(A42="","",SUMIFS(Orders[Выбыло шт.],Orders[SKU],A42))</x:f>
      </x:c>
      <x:c r="F42" s="11" t="str">
        <x:f>IF(A42="","",SUMIFS(Orders[Возврат на склад шт.],Orders[SKU],A42,Orders[Статус],"Возврат"))</x:f>
      </x:c>
      <x:c r="G42" s="51"/>
      <x:c r="H42" s="11" t="str">
        <x:f>IF(A42="","",C42+D42-E42+F42-G42)</x:f>
      </x:c>
      <x:c r="I42" s="51"/>
      <x:c r="J42" s="11" t="str">
        <x:f>IF(A42="","",IF(H42&lt;0,"Ошибка: минус",IF(H42&lt;=I42,"Закупить","Достаточно")))</x:f>
      </x:c>
    </x:row>
    <x:row r="43" ht="23" customHeight="1">
      <x:c r="A43" s="51"/>
      <x:c r="B43" s="11" t="str">
        <x:f>IF(A43="","",_xlfn.IFNA(INDEX(Products[Товар],MATCH(A43,Products[SKU],0)),"Нет SKU"))</x:f>
      </x:c>
      <x:c r="C43" s="51"/>
      <x:c r="D43" s="11" t="str">
        <x:f>IF(A43="","",SUMIFS(Purchases[Количество],Purchases[SKU],A43))</x:f>
      </x:c>
      <x:c r="E43" s="11" t="str">
        <x:f>IF(A43="","",SUMIFS(Orders[Выбыло шт.],Orders[SKU],A43))</x:f>
      </x:c>
      <x:c r="F43" s="11" t="str">
        <x:f>IF(A43="","",SUMIFS(Orders[Возврат на склад шт.],Orders[SKU],A43,Orders[Статус],"Возврат"))</x:f>
      </x:c>
      <x:c r="G43" s="51"/>
      <x:c r="H43" s="11" t="str">
        <x:f>IF(A43="","",C43+D43-E43+F43-G43)</x:f>
      </x:c>
      <x:c r="I43" s="51"/>
      <x:c r="J43" s="11" t="str">
        <x:f>IF(A43="","",IF(H43&lt;0,"Ошибка: минус",IF(H43&lt;=I43,"Закупить","Достаточно")))</x:f>
      </x:c>
    </x:row>
    <x:row r="44" ht="23" customHeight="1">
      <x:c r="A44" s="51"/>
      <x:c r="B44" s="11" t="str">
        <x:f>IF(A44="","",_xlfn.IFNA(INDEX(Products[Товар],MATCH(A44,Products[SKU],0)),"Нет SKU"))</x:f>
      </x:c>
      <x:c r="C44" s="51"/>
      <x:c r="D44" s="11" t="str">
        <x:f>IF(A44="","",SUMIFS(Purchases[Количество],Purchases[SKU],A44))</x:f>
      </x:c>
      <x:c r="E44" s="11" t="str">
        <x:f>IF(A44="","",SUMIFS(Orders[Выбыло шт.],Orders[SKU],A44))</x:f>
      </x:c>
      <x:c r="F44" s="11" t="str">
        <x:f>IF(A44="","",SUMIFS(Orders[Возврат на склад шт.],Orders[SKU],A44,Orders[Статус],"Возврат"))</x:f>
      </x:c>
      <x:c r="G44" s="51"/>
      <x:c r="H44" s="11" t="str">
        <x:f>IF(A44="","",C44+D44-E44+F44-G44)</x:f>
      </x:c>
      <x:c r="I44" s="51"/>
      <x:c r="J44" s="11" t="str">
        <x:f>IF(A44="","",IF(H44&lt;0,"Ошибка: минус",IF(H44&lt;=I44,"Закупить","Достаточно")))</x:f>
      </x:c>
    </x:row>
    <x:row r="45" ht="23" customHeight="1">
      <x:c r="A45" s="51"/>
      <x:c r="B45" s="11" t="str">
        <x:f>IF(A45="","",_xlfn.IFNA(INDEX(Products[Товар],MATCH(A45,Products[SKU],0)),"Нет SKU"))</x:f>
      </x:c>
      <x:c r="C45" s="51"/>
      <x:c r="D45" s="11" t="str">
        <x:f>IF(A45="","",SUMIFS(Purchases[Количество],Purchases[SKU],A45))</x:f>
      </x:c>
      <x:c r="E45" s="11" t="str">
        <x:f>IF(A45="","",SUMIFS(Orders[Выбыло шт.],Orders[SKU],A45))</x:f>
      </x:c>
      <x:c r="F45" s="11" t="str">
        <x:f>IF(A45="","",SUMIFS(Orders[Возврат на склад шт.],Orders[SKU],A45,Orders[Статус],"Возврат"))</x:f>
      </x:c>
      <x:c r="G45" s="51"/>
      <x:c r="H45" s="11" t="str">
        <x:f>IF(A45="","",C45+D45-E45+F45-G45)</x:f>
      </x:c>
      <x:c r="I45" s="51"/>
      <x:c r="J45" s="11" t="str">
        <x:f>IF(A45="","",IF(H45&lt;0,"Ошибка: минус",IF(H45&lt;=I45,"Закупить","Достаточно")))</x:f>
      </x:c>
    </x:row>
    <x:row r="46" ht="23" customHeight="1">
      <x:c r="A46" s="51"/>
      <x:c r="B46" s="11" t="str">
        <x:f>IF(A46="","",_xlfn.IFNA(INDEX(Products[Товар],MATCH(A46,Products[SKU],0)),"Нет SKU"))</x:f>
      </x:c>
      <x:c r="C46" s="51"/>
      <x:c r="D46" s="11" t="str">
        <x:f>IF(A46="","",SUMIFS(Purchases[Количество],Purchases[SKU],A46))</x:f>
      </x:c>
      <x:c r="E46" s="11" t="str">
        <x:f>IF(A46="","",SUMIFS(Orders[Выбыло шт.],Orders[SKU],A46))</x:f>
      </x:c>
      <x:c r="F46" s="11" t="str">
        <x:f>IF(A46="","",SUMIFS(Orders[Возврат на склад шт.],Orders[SKU],A46,Orders[Статус],"Возврат"))</x:f>
      </x:c>
      <x:c r="G46" s="51"/>
      <x:c r="H46" s="11" t="str">
        <x:f>IF(A46="","",C46+D46-E46+F46-G46)</x:f>
      </x:c>
      <x:c r="I46" s="51"/>
      <x:c r="J46" s="11" t="str">
        <x:f>IF(A46="","",IF(H46&lt;0,"Ошибка: минус",IF(H46&lt;=I46,"Закупить","Достаточно")))</x:f>
      </x:c>
    </x:row>
    <x:row r="47" ht="23" customHeight="1">
      <x:c r="A47" s="51"/>
      <x:c r="B47" s="11" t="str">
        <x:f>IF(A47="","",_xlfn.IFNA(INDEX(Products[Товар],MATCH(A47,Products[SKU],0)),"Нет SKU"))</x:f>
      </x:c>
      <x:c r="C47" s="51"/>
      <x:c r="D47" s="11" t="str">
        <x:f>IF(A47="","",SUMIFS(Purchases[Количество],Purchases[SKU],A47))</x:f>
      </x:c>
      <x:c r="E47" s="11" t="str">
        <x:f>IF(A47="","",SUMIFS(Orders[Выбыло шт.],Orders[SKU],A47))</x:f>
      </x:c>
      <x:c r="F47" s="11" t="str">
        <x:f>IF(A47="","",SUMIFS(Orders[Возврат на склад шт.],Orders[SKU],A47,Orders[Статус],"Возврат"))</x:f>
      </x:c>
      <x:c r="G47" s="51"/>
      <x:c r="H47" s="11" t="str">
        <x:f>IF(A47="","",C47+D47-E47+F47-G47)</x:f>
      </x:c>
      <x:c r="I47" s="51"/>
      <x:c r="J47" s="11" t="str">
        <x:f>IF(A47="","",IF(H47&lt;0,"Ошибка: минус",IF(H47&lt;=I47,"Закупить","Достаточно")))</x:f>
      </x:c>
    </x:row>
    <x:row r="48" ht="23" customHeight="1">
      <x:c r="A48" s="51"/>
      <x:c r="B48" s="11" t="str">
        <x:f>IF(A48="","",_xlfn.IFNA(INDEX(Products[Товар],MATCH(A48,Products[SKU],0)),"Нет SKU"))</x:f>
      </x:c>
      <x:c r="C48" s="51"/>
      <x:c r="D48" s="11" t="str">
        <x:f>IF(A48="","",SUMIFS(Purchases[Количество],Purchases[SKU],A48))</x:f>
      </x:c>
      <x:c r="E48" s="11" t="str">
        <x:f>IF(A48="","",SUMIFS(Orders[Выбыло шт.],Orders[SKU],A48))</x:f>
      </x:c>
      <x:c r="F48" s="11" t="str">
        <x:f>IF(A48="","",SUMIFS(Orders[Возврат на склад шт.],Orders[SKU],A48,Orders[Статус],"Возврат"))</x:f>
      </x:c>
      <x:c r="G48" s="51"/>
      <x:c r="H48" s="11" t="str">
        <x:f>IF(A48="","",C48+D48-E48+F48-G48)</x:f>
      </x:c>
      <x:c r="I48" s="51"/>
      <x:c r="J48" s="11" t="str">
        <x:f>IF(A48="","",IF(H48&lt;0,"Ошибка: минус",IF(H48&lt;=I48,"Закупить","Достаточно")))</x:f>
      </x:c>
    </x:row>
    <x:row r="49" ht="23" customHeight="1">
      <x:c r="A49" s="51"/>
      <x:c r="B49" s="11" t="str">
        <x:f>IF(A49="","",_xlfn.IFNA(INDEX(Products[Товар],MATCH(A49,Products[SKU],0)),"Нет SKU"))</x:f>
      </x:c>
      <x:c r="C49" s="51"/>
      <x:c r="D49" s="11" t="str">
        <x:f>IF(A49="","",SUMIFS(Purchases[Количество],Purchases[SKU],A49))</x:f>
      </x:c>
      <x:c r="E49" s="11" t="str">
        <x:f>IF(A49="","",SUMIFS(Orders[Выбыло шт.],Orders[SKU],A49))</x:f>
      </x:c>
      <x:c r="F49" s="11" t="str">
        <x:f>IF(A49="","",SUMIFS(Orders[Возврат на склад шт.],Orders[SKU],A49,Orders[Статус],"Возврат"))</x:f>
      </x:c>
      <x:c r="G49" s="51"/>
      <x:c r="H49" s="11" t="str">
        <x:f>IF(A49="","",C49+D49-E49+F49-G49)</x:f>
      </x:c>
      <x:c r="I49" s="51"/>
      <x:c r="J49" s="11" t="str">
        <x:f>IF(A49="","",IF(H49&lt;0,"Ошибка: минус",IF(H49&lt;=I49,"Закупить","Достаточно")))</x:f>
      </x:c>
    </x:row>
    <x:row r="50" ht="23" customHeight="1">
      <x:c r="A50" s="51"/>
      <x:c r="B50" s="11" t="str">
        <x:f>IF(A50="","",_xlfn.IFNA(INDEX(Products[Товар],MATCH(A50,Products[SKU],0)),"Нет SKU"))</x:f>
      </x:c>
      <x:c r="C50" s="51"/>
      <x:c r="D50" s="11" t="str">
        <x:f>IF(A50="","",SUMIFS(Purchases[Количество],Purchases[SKU],A50))</x:f>
      </x:c>
      <x:c r="E50" s="11" t="str">
        <x:f>IF(A50="","",SUMIFS(Orders[Выбыло шт.],Orders[SKU],A50))</x:f>
      </x:c>
      <x:c r="F50" s="11" t="str">
        <x:f>IF(A50="","",SUMIFS(Orders[Возврат на склад шт.],Orders[SKU],A50,Orders[Статус],"Возврат"))</x:f>
      </x:c>
      <x:c r="G50" s="51"/>
      <x:c r="H50" s="11" t="str">
        <x:f>IF(A50="","",C50+D50-E50+F50-G50)</x:f>
      </x:c>
      <x:c r="I50" s="51"/>
      <x:c r="J50" s="11" t="str">
        <x:f>IF(A50="","",IF(H50&lt;0,"Ошибка: минус",IF(H50&lt;=I50,"Закупить","Достаточно")))</x:f>
      </x:c>
    </x:row>
    <x:row r="51" ht="23" customHeight="1">
      <x:c r="A51" s="51"/>
      <x:c r="B51" s="11" t="str">
        <x:f>IF(A51="","",_xlfn.IFNA(INDEX(Products[Товар],MATCH(A51,Products[SKU],0)),"Нет SKU"))</x:f>
      </x:c>
      <x:c r="C51" s="51"/>
      <x:c r="D51" s="11" t="str">
        <x:f>IF(A51="","",SUMIFS(Purchases[Количество],Purchases[SKU],A51))</x:f>
      </x:c>
      <x:c r="E51" s="11" t="str">
        <x:f>IF(A51="","",SUMIFS(Orders[Выбыло шт.],Orders[SKU],A51))</x:f>
      </x:c>
      <x:c r="F51" s="11" t="str">
        <x:f>IF(A51="","",SUMIFS(Orders[Возврат на склад шт.],Orders[SKU],A51,Orders[Статус],"Возврат"))</x:f>
      </x:c>
      <x:c r="G51" s="51"/>
      <x:c r="H51" s="11" t="str">
        <x:f>IF(A51="","",C51+D51-E51+F51-G51)</x:f>
      </x:c>
      <x:c r="I51" s="51"/>
      <x:c r="J51" s="11" t="str">
        <x:f>IF(A51="","",IF(H51&lt;0,"Ошибка: минус",IF(H51&lt;=I51,"Закупить","Достаточно")))</x:f>
      </x:c>
    </x:row>
    <x:row r="52" ht="23" customHeight="1">
      <x:c r="A52" s="51"/>
      <x:c r="B52" s="11" t="str">
        <x:f>IF(A52="","",_xlfn.IFNA(INDEX(Products[Товар],MATCH(A52,Products[SKU],0)),"Нет SKU"))</x:f>
      </x:c>
      <x:c r="C52" s="51"/>
      <x:c r="D52" s="11" t="str">
        <x:f>IF(A52="","",SUMIFS(Purchases[Количество],Purchases[SKU],A52))</x:f>
      </x:c>
      <x:c r="E52" s="11" t="str">
        <x:f>IF(A52="","",SUMIFS(Orders[Выбыло шт.],Orders[SKU],A52))</x:f>
      </x:c>
      <x:c r="F52" s="11" t="str">
        <x:f>IF(A52="","",SUMIFS(Orders[Возврат на склад шт.],Orders[SKU],A52,Orders[Статус],"Возврат"))</x:f>
      </x:c>
      <x:c r="G52" s="51"/>
      <x:c r="H52" s="11" t="str">
        <x:f>IF(A52="","",C52+D52-E52+F52-G52)</x:f>
      </x:c>
      <x:c r="I52" s="51"/>
      <x:c r="J52" s="11" t="str">
        <x:f>IF(A52="","",IF(H52&lt;0,"Ошибка: минус",IF(H52&lt;=I52,"Закупить","Достаточно")))</x:f>
      </x:c>
    </x:row>
    <x:row r="53" ht="23" customHeight="1">
      <x:c r="A53" s="51"/>
      <x:c r="B53" s="11" t="str">
        <x:f>IF(A53="","",_xlfn.IFNA(INDEX(Products[Товар],MATCH(A53,Products[SKU],0)),"Нет SKU"))</x:f>
      </x:c>
      <x:c r="C53" s="51"/>
      <x:c r="D53" s="11" t="str">
        <x:f>IF(A53="","",SUMIFS(Purchases[Количество],Purchases[SKU],A53))</x:f>
      </x:c>
      <x:c r="E53" s="11" t="str">
        <x:f>IF(A53="","",SUMIFS(Orders[Выбыло шт.],Orders[SKU],A53))</x:f>
      </x:c>
      <x:c r="F53" s="11" t="str">
        <x:f>IF(A53="","",SUMIFS(Orders[Возврат на склад шт.],Orders[SKU],A53,Orders[Статус],"Возврат"))</x:f>
      </x:c>
      <x:c r="G53" s="51"/>
      <x:c r="H53" s="11" t="str">
        <x:f>IF(A53="","",C53+D53-E53+F53-G53)</x:f>
      </x:c>
      <x:c r="I53" s="51"/>
      <x:c r="J53" s="11" t="str">
        <x:f>IF(A53="","",IF(H53&lt;0,"Ошибка: минус",IF(H53&lt;=I53,"Закупить","Достаточно")))</x:f>
      </x:c>
    </x:row>
    <x:row r="54" ht="23" customHeight="1">
      <x:c r="A54" s="51"/>
      <x:c r="B54" s="11" t="str">
        <x:f>IF(A54="","",_xlfn.IFNA(INDEX(Products[Товар],MATCH(A54,Products[SKU],0)),"Нет SKU"))</x:f>
      </x:c>
      <x:c r="C54" s="51"/>
      <x:c r="D54" s="11" t="str">
        <x:f>IF(A54="","",SUMIFS(Purchases[Количество],Purchases[SKU],A54))</x:f>
      </x:c>
      <x:c r="E54" s="11" t="str">
        <x:f>IF(A54="","",SUMIFS(Orders[Выбыло шт.],Orders[SKU],A54))</x:f>
      </x:c>
      <x:c r="F54" s="11" t="str">
        <x:f>IF(A54="","",SUMIFS(Orders[Возврат на склад шт.],Orders[SKU],A54,Orders[Статус],"Возврат"))</x:f>
      </x:c>
      <x:c r="G54" s="51"/>
      <x:c r="H54" s="11" t="str">
        <x:f>IF(A54="","",C54+D54-E54+F54-G54)</x:f>
      </x:c>
      <x:c r="I54" s="51"/>
      <x:c r="J54" s="11" t="str">
        <x:f>IF(A54="","",IF(H54&lt;0,"Ошибка: минус",IF(H54&lt;=I54,"Закупить","Достаточно")))</x:f>
      </x:c>
    </x:row>
    <x:row r="55" ht="23" customHeight="1">
      <x:c r="A55" s="51"/>
      <x:c r="B55" s="11" t="str">
        <x:f>IF(A55="","",_xlfn.IFNA(INDEX(Products[Товар],MATCH(A55,Products[SKU],0)),"Нет SKU"))</x:f>
      </x:c>
      <x:c r="C55" s="51"/>
      <x:c r="D55" s="11" t="str">
        <x:f>IF(A55="","",SUMIFS(Purchases[Количество],Purchases[SKU],A55))</x:f>
      </x:c>
      <x:c r="E55" s="11" t="str">
        <x:f>IF(A55="","",SUMIFS(Orders[Выбыло шт.],Orders[SKU],A55))</x:f>
      </x:c>
      <x:c r="F55" s="11" t="str">
        <x:f>IF(A55="","",SUMIFS(Orders[Возврат на склад шт.],Orders[SKU],A55,Orders[Статус],"Возврат"))</x:f>
      </x:c>
      <x:c r="G55" s="51"/>
      <x:c r="H55" s="11" t="str">
        <x:f>IF(A55="","",C55+D55-E55+F55-G55)</x:f>
      </x:c>
      <x:c r="I55" s="51"/>
      <x:c r="J55" s="11" t="str">
        <x:f>IF(A55="","",IF(H55&lt;0,"Ошибка: минус",IF(H55&lt;=I55,"Закупить","Достаточно")))</x:f>
      </x:c>
    </x:row>
    <x:row r="56" ht="23" customHeight="1">
      <x:c r="A56" s="51"/>
      <x:c r="B56" s="11" t="str">
        <x:f>IF(A56="","",_xlfn.IFNA(INDEX(Products[Товар],MATCH(A56,Products[SKU],0)),"Нет SKU"))</x:f>
      </x:c>
      <x:c r="C56" s="51"/>
      <x:c r="D56" s="11" t="str">
        <x:f>IF(A56="","",SUMIFS(Purchases[Количество],Purchases[SKU],A56))</x:f>
      </x:c>
      <x:c r="E56" s="11" t="str">
        <x:f>IF(A56="","",SUMIFS(Orders[Выбыло шт.],Orders[SKU],A56))</x:f>
      </x:c>
      <x:c r="F56" s="11" t="str">
        <x:f>IF(A56="","",SUMIFS(Orders[Возврат на склад шт.],Orders[SKU],A56,Orders[Статус],"Возврат"))</x:f>
      </x:c>
      <x:c r="G56" s="51"/>
      <x:c r="H56" s="11" t="str">
        <x:f>IF(A56="","",C56+D56-E56+F56-G56)</x:f>
      </x:c>
      <x:c r="I56" s="51"/>
      <x:c r="J56" s="11" t="str">
        <x:f>IF(A56="","",IF(H56&lt;0,"Ошибка: минус",IF(H56&lt;=I56,"Закупить","Достаточно")))</x:f>
      </x:c>
    </x:row>
    <x:row r="57" ht="23" customHeight="1">
      <x:c r="A57" s="51"/>
      <x:c r="B57" s="11" t="str">
        <x:f>IF(A57="","",_xlfn.IFNA(INDEX(Products[Товар],MATCH(A57,Products[SKU],0)),"Нет SKU"))</x:f>
      </x:c>
      <x:c r="C57" s="51"/>
      <x:c r="D57" s="11" t="str">
        <x:f>IF(A57="","",SUMIFS(Purchases[Количество],Purchases[SKU],A57))</x:f>
      </x:c>
      <x:c r="E57" s="11" t="str">
        <x:f>IF(A57="","",SUMIFS(Orders[Выбыло шт.],Orders[SKU],A57))</x:f>
      </x:c>
      <x:c r="F57" s="11" t="str">
        <x:f>IF(A57="","",SUMIFS(Orders[Возврат на склад шт.],Orders[SKU],A57,Orders[Статус],"Возврат"))</x:f>
      </x:c>
      <x:c r="G57" s="51"/>
      <x:c r="H57" s="11" t="str">
        <x:f>IF(A57="","",C57+D57-E57+F57-G57)</x:f>
      </x:c>
      <x:c r="I57" s="51"/>
      <x:c r="J57" s="11" t="str">
        <x:f>IF(A57="","",IF(H57&lt;0,"Ошибка: минус",IF(H57&lt;=I57,"Закупить","Достаточно")))</x:f>
      </x:c>
    </x:row>
    <x:row r="58" ht="23" customHeight="1">
      <x:c r="A58" s="51"/>
      <x:c r="B58" s="11" t="str">
        <x:f>IF(A58="","",_xlfn.IFNA(INDEX(Products[Товар],MATCH(A58,Products[SKU],0)),"Нет SKU"))</x:f>
      </x:c>
      <x:c r="C58" s="51"/>
      <x:c r="D58" s="11" t="str">
        <x:f>IF(A58="","",SUMIFS(Purchases[Количество],Purchases[SKU],A58))</x:f>
      </x:c>
      <x:c r="E58" s="11" t="str">
        <x:f>IF(A58="","",SUMIFS(Orders[Выбыло шт.],Orders[SKU],A58))</x:f>
      </x:c>
      <x:c r="F58" s="11" t="str">
        <x:f>IF(A58="","",SUMIFS(Orders[Возврат на склад шт.],Orders[SKU],A58,Orders[Статус],"Возврат"))</x:f>
      </x:c>
      <x:c r="G58" s="51"/>
      <x:c r="H58" s="11" t="str">
        <x:f>IF(A58="","",C58+D58-E58+F58-G58)</x:f>
      </x:c>
      <x:c r="I58" s="51"/>
      <x:c r="J58" s="11" t="str">
        <x:f>IF(A58="","",IF(H58&lt;0,"Ошибка: минус",IF(H58&lt;=I58,"Закупить","Достаточно")))</x:f>
      </x:c>
    </x:row>
    <x:row r="59" ht="23" customHeight="1">
      <x:c r="A59" s="51"/>
      <x:c r="B59" s="11" t="str">
        <x:f>IF(A59="","",_xlfn.IFNA(INDEX(Products[Товар],MATCH(A59,Products[SKU],0)),"Нет SKU"))</x:f>
      </x:c>
      <x:c r="C59" s="51"/>
      <x:c r="D59" s="11" t="str">
        <x:f>IF(A59="","",SUMIFS(Purchases[Количество],Purchases[SKU],A59))</x:f>
      </x:c>
      <x:c r="E59" s="11" t="str">
        <x:f>IF(A59="","",SUMIFS(Orders[Выбыло шт.],Orders[SKU],A59))</x:f>
      </x:c>
      <x:c r="F59" s="11" t="str">
        <x:f>IF(A59="","",SUMIFS(Orders[Возврат на склад шт.],Orders[SKU],A59,Orders[Статус],"Возврат"))</x:f>
      </x:c>
      <x:c r="G59" s="51"/>
      <x:c r="H59" s="11" t="str">
        <x:f>IF(A59="","",C59+D59-E59+F59-G59)</x:f>
      </x:c>
      <x:c r="I59" s="51"/>
      <x:c r="J59" s="11" t="str">
        <x:f>IF(A59="","",IF(H59&lt;0,"Ошибка: минус",IF(H59&lt;=I59,"Закупить","Достаточно")))</x:f>
      </x:c>
    </x:row>
    <x:row r="60" ht="23" customHeight="1">
      <x:c r="A60" s="51"/>
      <x:c r="B60" s="11" t="str">
        <x:f>IF(A60="","",_xlfn.IFNA(INDEX(Products[Товар],MATCH(A60,Products[SKU],0)),"Нет SKU"))</x:f>
      </x:c>
      <x:c r="C60" s="51"/>
      <x:c r="D60" s="11" t="str">
        <x:f>IF(A60="","",SUMIFS(Purchases[Количество],Purchases[SKU],A60))</x:f>
      </x:c>
      <x:c r="E60" s="11" t="str">
        <x:f>IF(A60="","",SUMIFS(Orders[Выбыло шт.],Orders[SKU],A60))</x:f>
      </x:c>
      <x:c r="F60" s="11" t="str">
        <x:f>IF(A60="","",SUMIFS(Orders[Возврат на склад шт.],Orders[SKU],A60,Orders[Статус],"Возврат"))</x:f>
      </x:c>
      <x:c r="G60" s="51"/>
      <x:c r="H60" s="11" t="str">
        <x:f>IF(A60="","",C60+D60-E60+F60-G60)</x:f>
      </x:c>
      <x:c r="I60" s="51"/>
      <x:c r="J60" s="11" t="str">
        <x:f>IF(A60="","",IF(H60&lt;0,"Ошибка: минус",IF(H60&lt;=I60,"Закупить","Достаточно")))</x:f>
      </x:c>
    </x:row>
    <x:row r="61" ht="23" customHeight="1">
      <x:c r="A61" s="51"/>
      <x:c r="B61" s="11" t="str">
        <x:f>IF(A61="","",_xlfn.IFNA(INDEX(Products[Товар],MATCH(A61,Products[SKU],0)),"Нет SKU"))</x:f>
      </x:c>
      <x:c r="C61" s="51"/>
      <x:c r="D61" s="11" t="str">
        <x:f>IF(A61="","",SUMIFS(Purchases[Количество],Purchases[SKU],A61))</x:f>
      </x:c>
      <x:c r="E61" s="11" t="str">
        <x:f>IF(A61="","",SUMIFS(Orders[Выбыло шт.],Orders[SKU],A61))</x:f>
      </x:c>
      <x:c r="F61" s="11" t="str">
        <x:f>IF(A61="","",SUMIFS(Orders[Возврат на склад шт.],Orders[SKU],A61,Orders[Статус],"Возврат"))</x:f>
      </x:c>
      <x:c r="G61" s="51"/>
      <x:c r="H61" s="11" t="str">
        <x:f>IF(A61="","",C61+D61-E61+F61-G61)</x:f>
      </x:c>
      <x:c r="I61" s="51"/>
      <x:c r="J61" s="11" t="str">
        <x:f>IF(A61="","",IF(H61&lt;0,"Ошибка: минус",IF(H61&lt;=I61,"Закупить","Достаточно")))</x:f>
      </x:c>
    </x:row>
    <x:row r="62" ht="23" customHeight="1">
      <x:c r="A62" s="51"/>
      <x:c r="B62" s="11" t="str">
        <x:f>IF(A62="","",_xlfn.IFNA(INDEX(Products[Товар],MATCH(A62,Products[SKU],0)),"Нет SKU"))</x:f>
      </x:c>
      <x:c r="C62" s="51"/>
      <x:c r="D62" s="11" t="str">
        <x:f>IF(A62="","",SUMIFS(Purchases[Количество],Purchases[SKU],A62))</x:f>
      </x:c>
      <x:c r="E62" s="11" t="str">
        <x:f>IF(A62="","",SUMIFS(Orders[Выбыло шт.],Orders[SKU],A62))</x:f>
      </x:c>
      <x:c r="F62" s="11" t="str">
        <x:f>IF(A62="","",SUMIFS(Orders[Возврат на склад шт.],Orders[SKU],A62,Orders[Статус],"Возврат"))</x:f>
      </x:c>
      <x:c r="G62" s="51"/>
      <x:c r="H62" s="11" t="str">
        <x:f>IF(A62="","",C62+D62-E62+F62-G62)</x:f>
      </x:c>
      <x:c r="I62" s="51"/>
      <x:c r="J62" s="11" t="str">
        <x:f>IF(A62="","",IF(H62&lt;0,"Ошибка: минус",IF(H62&lt;=I62,"Закупить","Достаточно")))</x:f>
      </x:c>
    </x:row>
    <x:row r="63" ht="23" customHeight="1">
      <x:c r="A63" s="51"/>
      <x:c r="B63" s="11" t="str">
        <x:f>IF(A63="","",_xlfn.IFNA(INDEX(Products[Товар],MATCH(A63,Products[SKU],0)),"Нет SKU"))</x:f>
      </x:c>
      <x:c r="C63" s="51"/>
      <x:c r="D63" s="11" t="str">
        <x:f>IF(A63="","",SUMIFS(Purchases[Количество],Purchases[SKU],A63))</x:f>
      </x:c>
      <x:c r="E63" s="11" t="str">
        <x:f>IF(A63="","",SUMIFS(Orders[Выбыло шт.],Orders[SKU],A63))</x:f>
      </x:c>
      <x:c r="F63" s="11" t="str">
        <x:f>IF(A63="","",SUMIFS(Orders[Возврат на склад шт.],Orders[SKU],A63,Orders[Статус],"Возврат"))</x:f>
      </x:c>
      <x:c r="G63" s="51"/>
      <x:c r="H63" s="11" t="str">
        <x:f>IF(A63="","",C63+D63-E63+F63-G63)</x:f>
      </x:c>
      <x:c r="I63" s="51"/>
      <x:c r="J63" s="11" t="str">
        <x:f>IF(A63="","",IF(H63&lt;0,"Ошибка: минус",IF(H63&lt;=I63,"Закупить","Достаточно")))</x:f>
      </x:c>
    </x:row>
    <x:row r="64" ht="23" customHeight="1">
      <x:c r="A64" s="51"/>
      <x:c r="B64" s="11" t="str">
        <x:f>IF(A64="","",_xlfn.IFNA(INDEX(Products[Товар],MATCH(A64,Products[SKU],0)),"Нет SKU"))</x:f>
      </x:c>
      <x:c r="C64" s="51"/>
      <x:c r="D64" s="11" t="str">
        <x:f>IF(A64="","",SUMIFS(Purchases[Количество],Purchases[SKU],A64))</x:f>
      </x:c>
      <x:c r="E64" s="11" t="str">
        <x:f>IF(A64="","",SUMIFS(Orders[Выбыло шт.],Orders[SKU],A64))</x:f>
      </x:c>
      <x:c r="F64" s="11" t="str">
        <x:f>IF(A64="","",SUMIFS(Orders[Возврат на склад шт.],Orders[SKU],A64,Orders[Статус],"Возврат"))</x:f>
      </x:c>
      <x:c r="G64" s="51"/>
      <x:c r="H64" s="11" t="str">
        <x:f>IF(A64="","",C64+D64-E64+F64-G64)</x:f>
      </x:c>
      <x:c r="I64" s="51"/>
      <x:c r="J64" s="11" t="str">
        <x:f>IF(A64="","",IF(H64&lt;0,"Ошибка: минус",IF(H64&lt;=I64,"Закупить","Достаточно")))</x:f>
      </x:c>
    </x:row>
    <x:row r="65" ht="23" customHeight="1">
      <x:c r="A65" s="51"/>
      <x:c r="B65" s="11" t="str">
        <x:f>IF(A65="","",_xlfn.IFNA(INDEX(Products[Товар],MATCH(A65,Products[SKU],0)),"Нет SKU"))</x:f>
      </x:c>
      <x:c r="C65" s="51"/>
      <x:c r="D65" s="11" t="str">
        <x:f>IF(A65="","",SUMIFS(Purchases[Количество],Purchases[SKU],A65))</x:f>
      </x:c>
      <x:c r="E65" s="11" t="str">
        <x:f>IF(A65="","",SUMIFS(Orders[Выбыло шт.],Orders[SKU],A65))</x:f>
      </x:c>
      <x:c r="F65" s="11" t="str">
        <x:f>IF(A65="","",SUMIFS(Orders[Возврат на склад шт.],Orders[SKU],A65,Orders[Статус],"Возврат"))</x:f>
      </x:c>
      <x:c r="G65" s="51"/>
      <x:c r="H65" s="11" t="str">
        <x:f>IF(A65="","",C65+D65-E65+F65-G65)</x:f>
      </x:c>
      <x:c r="I65" s="51"/>
      <x:c r="J65" s="11" t="str">
        <x:f>IF(A65="","",IF(H65&lt;0,"Ошибка: минус",IF(H65&lt;=I65,"Закупить","Достаточно")))</x:f>
      </x:c>
    </x:row>
    <x:row r="66" ht="23" customHeight="1">
      <x:c r="A66" s="51"/>
      <x:c r="B66" s="11" t="str">
        <x:f>IF(A66="","",_xlfn.IFNA(INDEX(Products[Товар],MATCH(A66,Products[SKU],0)),"Нет SKU"))</x:f>
      </x:c>
      <x:c r="C66" s="51"/>
      <x:c r="D66" s="11" t="str">
        <x:f>IF(A66="","",SUMIFS(Purchases[Количество],Purchases[SKU],A66))</x:f>
      </x:c>
      <x:c r="E66" s="11" t="str">
        <x:f>IF(A66="","",SUMIFS(Orders[Выбыло шт.],Orders[SKU],A66))</x:f>
      </x:c>
      <x:c r="F66" s="11" t="str">
        <x:f>IF(A66="","",SUMIFS(Orders[Возврат на склад шт.],Orders[SKU],A66,Orders[Статус],"Возврат"))</x:f>
      </x:c>
      <x:c r="G66" s="51"/>
      <x:c r="H66" s="11" t="str">
        <x:f>IF(A66="","",C66+D66-E66+F66-G66)</x:f>
      </x:c>
      <x:c r="I66" s="51"/>
      <x:c r="J66" s="11" t="str">
        <x:f>IF(A66="","",IF(H66&lt;0,"Ошибка: минус",IF(H66&lt;=I66,"Закупить","Достаточно")))</x:f>
      </x:c>
    </x:row>
    <x:row r="67" ht="23" customHeight="1">
      <x:c r="A67" s="51"/>
      <x:c r="B67" s="11" t="str">
        <x:f>IF(A67="","",_xlfn.IFNA(INDEX(Products[Товар],MATCH(A67,Products[SKU],0)),"Нет SKU"))</x:f>
      </x:c>
      <x:c r="C67" s="51"/>
      <x:c r="D67" s="11" t="str">
        <x:f>IF(A67="","",SUMIFS(Purchases[Количество],Purchases[SKU],A67))</x:f>
      </x:c>
      <x:c r="E67" s="11" t="str">
        <x:f>IF(A67="","",SUMIFS(Orders[Выбыло шт.],Orders[SKU],A67))</x:f>
      </x:c>
      <x:c r="F67" s="11" t="str">
        <x:f>IF(A67="","",SUMIFS(Orders[Возврат на склад шт.],Orders[SKU],A67,Orders[Статус],"Возврат"))</x:f>
      </x:c>
      <x:c r="G67" s="51"/>
      <x:c r="H67" s="11" t="str">
        <x:f>IF(A67="","",C67+D67-E67+F67-G67)</x:f>
      </x:c>
      <x:c r="I67" s="51"/>
      <x:c r="J67" s="11" t="str">
        <x:f>IF(A67="","",IF(H67&lt;0,"Ошибка: минус",IF(H67&lt;=I67,"Закупить","Достаточно")))</x:f>
      </x:c>
    </x:row>
    <x:row r="68" ht="23" customHeight="1">
      <x:c r="A68" s="51"/>
      <x:c r="B68" s="11" t="str">
        <x:f>IF(A68="","",_xlfn.IFNA(INDEX(Products[Товар],MATCH(A68,Products[SKU],0)),"Нет SKU"))</x:f>
      </x:c>
      <x:c r="C68" s="51"/>
      <x:c r="D68" s="11" t="str">
        <x:f>IF(A68="","",SUMIFS(Purchases[Количество],Purchases[SKU],A68))</x:f>
      </x:c>
      <x:c r="E68" s="11" t="str">
        <x:f>IF(A68="","",SUMIFS(Orders[Выбыло шт.],Orders[SKU],A68))</x:f>
      </x:c>
      <x:c r="F68" s="11" t="str">
        <x:f>IF(A68="","",SUMIFS(Orders[Возврат на склад шт.],Orders[SKU],A68,Orders[Статус],"Возврат"))</x:f>
      </x:c>
      <x:c r="G68" s="51"/>
      <x:c r="H68" s="11" t="str">
        <x:f>IF(A68="","",C68+D68-E68+F68-G68)</x:f>
      </x:c>
      <x:c r="I68" s="51"/>
      <x:c r="J68" s="11" t="str">
        <x:f>IF(A68="","",IF(H68&lt;0,"Ошибка: минус",IF(H68&lt;=I68,"Закупить","Достаточно")))</x:f>
      </x:c>
    </x:row>
    <x:row r="69" ht="23" customHeight="1">
      <x:c r="A69" s="51"/>
      <x:c r="B69" s="11" t="str">
        <x:f>IF(A69="","",_xlfn.IFNA(INDEX(Products[Товар],MATCH(A69,Products[SKU],0)),"Нет SKU"))</x:f>
      </x:c>
      <x:c r="C69" s="51"/>
      <x:c r="D69" s="11" t="str">
        <x:f>IF(A69="","",SUMIFS(Purchases[Количество],Purchases[SKU],A69))</x:f>
      </x:c>
      <x:c r="E69" s="11" t="str">
        <x:f>IF(A69="","",SUMIFS(Orders[Выбыло шт.],Orders[SKU],A69))</x:f>
      </x:c>
      <x:c r="F69" s="11" t="str">
        <x:f>IF(A69="","",SUMIFS(Orders[Возврат на склад шт.],Orders[SKU],A69,Orders[Статус],"Возврат"))</x:f>
      </x:c>
      <x:c r="G69" s="51"/>
      <x:c r="H69" s="11" t="str">
        <x:f>IF(A69="","",C69+D69-E69+F69-G69)</x:f>
      </x:c>
      <x:c r="I69" s="51"/>
      <x:c r="J69" s="11" t="str">
        <x:f>IF(A69="","",IF(H69&lt;0,"Ошибка: минус",IF(H69&lt;=I69,"Закупить","Достаточно")))</x:f>
      </x:c>
    </x:row>
    <x:row r="70" ht="23" customHeight="1">
      <x:c r="A70" s="51"/>
      <x:c r="B70" s="11" t="str">
        <x:f>IF(A70="","",_xlfn.IFNA(INDEX(Products[Товар],MATCH(A70,Products[SKU],0)),"Нет SKU"))</x:f>
      </x:c>
      <x:c r="C70" s="51"/>
      <x:c r="D70" s="11" t="str">
        <x:f>IF(A70="","",SUMIFS(Purchases[Количество],Purchases[SKU],A70))</x:f>
      </x:c>
      <x:c r="E70" s="11" t="str">
        <x:f>IF(A70="","",SUMIFS(Orders[Выбыло шт.],Orders[SKU],A70))</x:f>
      </x:c>
      <x:c r="F70" s="11" t="str">
        <x:f>IF(A70="","",SUMIFS(Orders[Возврат на склад шт.],Orders[SKU],A70,Orders[Статус],"Возврат"))</x:f>
      </x:c>
      <x:c r="G70" s="51"/>
      <x:c r="H70" s="11" t="str">
        <x:f>IF(A70="","",C70+D70-E70+F70-G70)</x:f>
      </x:c>
      <x:c r="I70" s="51"/>
      <x:c r="J70" s="11" t="str">
        <x:f>IF(A70="","",IF(H70&lt;0,"Ошибка: минус",IF(H70&lt;=I70,"Закупить","Достаточно")))</x:f>
      </x:c>
    </x:row>
    <x:row r="71" ht="23" customHeight="1">
      <x:c r="A71" s="51"/>
      <x:c r="B71" s="11" t="str">
        <x:f>IF(A71="","",_xlfn.IFNA(INDEX(Products[Товар],MATCH(A71,Products[SKU],0)),"Нет SKU"))</x:f>
      </x:c>
      <x:c r="C71" s="51"/>
      <x:c r="D71" s="11" t="str">
        <x:f>IF(A71="","",SUMIFS(Purchases[Количество],Purchases[SKU],A71))</x:f>
      </x:c>
      <x:c r="E71" s="11" t="str">
        <x:f>IF(A71="","",SUMIFS(Orders[Выбыло шт.],Orders[SKU],A71))</x:f>
      </x:c>
      <x:c r="F71" s="11" t="str">
        <x:f>IF(A71="","",SUMIFS(Orders[Возврат на склад шт.],Orders[SKU],A71,Orders[Статус],"Возврат"))</x:f>
      </x:c>
      <x:c r="G71" s="51"/>
      <x:c r="H71" s="11" t="str">
        <x:f>IF(A71="","",C71+D71-E71+F71-G71)</x:f>
      </x:c>
      <x:c r="I71" s="51"/>
      <x:c r="J71" s="11" t="str">
        <x:f>IF(A71="","",IF(H71&lt;0,"Ошибка: минус",IF(H71&lt;=I71,"Закупить","Достаточно")))</x:f>
      </x:c>
    </x:row>
    <x:row r="72" ht="23" customHeight="1">
      <x:c r="A72" s="51"/>
      <x:c r="B72" s="11" t="str">
        <x:f>IF(A72="","",_xlfn.IFNA(INDEX(Products[Товар],MATCH(A72,Products[SKU],0)),"Нет SKU"))</x:f>
      </x:c>
      <x:c r="C72" s="51"/>
      <x:c r="D72" s="11" t="str">
        <x:f>IF(A72="","",SUMIFS(Purchases[Количество],Purchases[SKU],A72))</x:f>
      </x:c>
      <x:c r="E72" s="11" t="str">
        <x:f>IF(A72="","",SUMIFS(Orders[Выбыло шт.],Orders[SKU],A72))</x:f>
      </x:c>
      <x:c r="F72" s="11" t="str">
        <x:f>IF(A72="","",SUMIFS(Orders[Возврат на склад шт.],Orders[SKU],A72,Orders[Статус],"Возврат"))</x:f>
      </x:c>
      <x:c r="G72" s="51"/>
      <x:c r="H72" s="11" t="str">
        <x:f>IF(A72="","",C72+D72-E72+F72-G72)</x:f>
      </x:c>
      <x:c r="I72" s="51"/>
      <x:c r="J72" s="11" t="str">
        <x:f>IF(A72="","",IF(H72&lt;0,"Ошибка: минус",IF(H72&lt;=I72,"Закупить","Достаточно")))</x:f>
      </x:c>
    </x:row>
    <x:row r="73" ht="23" customHeight="1">
      <x:c r="A73" s="51"/>
      <x:c r="B73" s="11" t="str">
        <x:f>IF(A73="","",_xlfn.IFNA(INDEX(Products[Товар],MATCH(A73,Products[SKU],0)),"Нет SKU"))</x:f>
      </x:c>
      <x:c r="C73" s="51"/>
      <x:c r="D73" s="11" t="str">
        <x:f>IF(A73="","",SUMIFS(Purchases[Количество],Purchases[SKU],A73))</x:f>
      </x:c>
      <x:c r="E73" s="11" t="str">
        <x:f>IF(A73="","",SUMIFS(Orders[Выбыло шт.],Orders[SKU],A73))</x:f>
      </x:c>
      <x:c r="F73" s="11" t="str">
        <x:f>IF(A73="","",SUMIFS(Orders[Возврат на склад шт.],Orders[SKU],A73,Orders[Статус],"Возврат"))</x:f>
      </x:c>
      <x:c r="G73" s="51"/>
      <x:c r="H73" s="11" t="str">
        <x:f>IF(A73="","",C73+D73-E73+F73-G73)</x:f>
      </x:c>
      <x:c r="I73" s="51"/>
      <x:c r="J73" s="11" t="str">
        <x:f>IF(A73="","",IF(H73&lt;0,"Ошибка: минус",IF(H73&lt;=I73,"Закупить","Достаточно")))</x:f>
      </x:c>
    </x:row>
    <x:row r="74" ht="23" customHeight="1">
      <x:c r="A74" s="51"/>
      <x:c r="B74" s="11" t="str">
        <x:f>IF(A74="","",_xlfn.IFNA(INDEX(Products[Товар],MATCH(A74,Products[SKU],0)),"Нет SKU"))</x:f>
      </x:c>
      <x:c r="C74" s="51"/>
      <x:c r="D74" s="11" t="str">
        <x:f>IF(A74="","",SUMIFS(Purchases[Количество],Purchases[SKU],A74))</x:f>
      </x:c>
      <x:c r="E74" s="11" t="str">
        <x:f>IF(A74="","",SUMIFS(Orders[Выбыло шт.],Orders[SKU],A74))</x:f>
      </x:c>
      <x:c r="F74" s="11" t="str">
        <x:f>IF(A74="","",SUMIFS(Orders[Возврат на склад шт.],Orders[SKU],A74,Orders[Статус],"Возврат"))</x:f>
      </x:c>
      <x:c r="G74" s="51"/>
      <x:c r="H74" s="11" t="str">
        <x:f>IF(A74="","",C74+D74-E74+F74-G74)</x:f>
      </x:c>
      <x:c r="I74" s="51"/>
      <x:c r="J74" s="11" t="str">
        <x:f>IF(A74="","",IF(H74&lt;0,"Ошибка: минус",IF(H74&lt;=I74,"Закупить","Достаточно")))</x:f>
      </x:c>
    </x:row>
    <x:row r="75" ht="23" customHeight="1">
      <x:c r="A75" s="51"/>
      <x:c r="B75" s="11" t="str">
        <x:f>IF(A75="","",_xlfn.IFNA(INDEX(Products[Товар],MATCH(A75,Products[SKU],0)),"Нет SKU"))</x:f>
      </x:c>
      <x:c r="C75" s="51"/>
      <x:c r="D75" s="11" t="str">
        <x:f>IF(A75="","",SUMIFS(Purchases[Количество],Purchases[SKU],A75))</x:f>
      </x:c>
      <x:c r="E75" s="11" t="str">
        <x:f>IF(A75="","",SUMIFS(Orders[Выбыло шт.],Orders[SKU],A75))</x:f>
      </x:c>
      <x:c r="F75" s="11" t="str">
        <x:f>IF(A75="","",SUMIFS(Orders[Возврат на склад шт.],Orders[SKU],A75,Orders[Статус],"Возврат"))</x:f>
      </x:c>
      <x:c r="G75" s="51"/>
      <x:c r="H75" s="11" t="str">
        <x:f>IF(A75="","",C75+D75-E75+F75-G75)</x:f>
      </x:c>
      <x:c r="I75" s="51"/>
      <x:c r="J75" s="11" t="str">
        <x:f>IF(A75="","",IF(H75&lt;0,"Ошибка: минус",IF(H75&lt;=I75,"Закупить","Достаточно")))</x:f>
      </x:c>
    </x:row>
    <x:row r="76" ht="23" customHeight="1">
      <x:c r="A76" s="51"/>
      <x:c r="B76" s="11" t="str">
        <x:f>IF(A76="","",_xlfn.IFNA(INDEX(Products[Товар],MATCH(A76,Products[SKU],0)),"Нет SKU"))</x:f>
      </x:c>
      <x:c r="C76" s="51"/>
      <x:c r="D76" s="11" t="str">
        <x:f>IF(A76="","",SUMIFS(Purchases[Количество],Purchases[SKU],A76))</x:f>
      </x:c>
      <x:c r="E76" s="11" t="str">
        <x:f>IF(A76="","",SUMIFS(Orders[Выбыло шт.],Orders[SKU],A76))</x:f>
      </x:c>
      <x:c r="F76" s="11" t="str">
        <x:f>IF(A76="","",SUMIFS(Orders[Возврат на склад шт.],Orders[SKU],A76,Orders[Статус],"Возврат"))</x:f>
      </x:c>
      <x:c r="G76" s="51"/>
      <x:c r="H76" s="11" t="str">
        <x:f>IF(A76="","",C76+D76-E76+F76-G76)</x:f>
      </x:c>
      <x:c r="I76" s="51"/>
      <x:c r="J76" s="11" t="str">
        <x:f>IF(A76="","",IF(H76&lt;0,"Ошибка: минус",IF(H76&lt;=I76,"Закупить","Достаточно")))</x:f>
      </x:c>
    </x:row>
    <x:row r="77" ht="23" customHeight="1">
      <x:c r="A77" s="51"/>
      <x:c r="B77" s="11" t="str">
        <x:f>IF(A77="","",_xlfn.IFNA(INDEX(Products[Товар],MATCH(A77,Products[SKU],0)),"Нет SKU"))</x:f>
      </x:c>
      <x:c r="C77" s="51"/>
      <x:c r="D77" s="11" t="str">
        <x:f>IF(A77="","",SUMIFS(Purchases[Количество],Purchases[SKU],A77))</x:f>
      </x:c>
      <x:c r="E77" s="11" t="str">
        <x:f>IF(A77="","",SUMIFS(Orders[Выбыло шт.],Orders[SKU],A77))</x:f>
      </x:c>
      <x:c r="F77" s="11" t="str">
        <x:f>IF(A77="","",SUMIFS(Orders[Возврат на склад шт.],Orders[SKU],A77,Orders[Статус],"Возврат"))</x:f>
      </x:c>
      <x:c r="G77" s="51"/>
      <x:c r="H77" s="11" t="str">
        <x:f>IF(A77="","",C77+D77-E77+F77-G77)</x:f>
      </x:c>
      <x:c r="I77" s="51"/>
      <x:c r="J77" s="11" t="str">
        <x:f>IF(A77="","",IF(H77&lt;0,"Ошибка: минус",IF(H77&lt;=I77,"Закупить","Достаточно")))</x:f>
      </x:c>
    </x:row>
    <x:row r="78" ht="23" customHeight="1">
      <x:c r="A78" s="51"/>
      <x:c r="B78" s="11" t="str">
        <x:f>IF(A78="","",_xlfn.IFNA(INDEX(Products[Товар],MATCH(A78,Products[SKU],0)),"Нет SKU"))</x:f>
      </x:c>
      <x:c r="C78" s="51"/>
      <x:c r="D78" s="11" t="str">
        <x:f>IF(A78="","",SUMIFS(Purchases[Количество],Purchases[SKU],A78))</x:f>
      </x:c>
      <x:c r="E78" s="11" t="str">
        <x:f>IF(A78="","",SUMIFS(Orders[Выбыло шт.],Orders[SKU],A78))</x:f>
      </x:c>
      <x:c r="F78" s="11" t="str">
        <x:f>IF(A78="","",SUMIFS(Orders[Возврат на склад шт.],Orders[SKU],A78,Orders[Статус],"Возврат"))</x:f>
      </x:c>
      <x:c r="G78" s="51"/>
      <x:c r="H78" s="11" t="str">
        <x:f>IF(A78="","",C78+D78-E78+F78-G78)</x:f>
      </x:c>
      <x:c r="I78" s="51"/>
      <x:c r="J78" s="11" t="str">
        <x:f>IF(A78="","",IF(H78&lt;0,"Ошибка: минус",IF(H78&lt;=I78,"Закупить","Достаточно")))</x:f>
      </x:c>
    </x:row>
    <x:row r="79" ht="23" customHeight="1">
      <x:c r="A79" s="51"/>
      <x:c r="B79" s="11" t="str">
        <x:f>IF(A79="","",_xlfn.IFNA(INDEX(Products[Товар],MATCH(A79,Products[SKU],0)),"Нет SKU"))</x:f>
      </x:c>
      <x:c r="C79" s="51"/>
      <x:c r="D79" s="11" t="str">
        <x:f>IF(A79="","",SUMIFS(Purchases[Количество],Purchases[SKU],A79))</x:f>
      </x:c>
      <x:c r="E79" s="11" t="str">
        <x:f>IF(A79="","",SUMIFS(Orders[Выбыло шт.],Orders[SKU],A79))</x:f>
      </x:c>
      <x:c r="F79" s="11" t="str">
        <x:f>IF(A79="","",SUMIFS(Orders[Возврат на склад шт.],Orders[SKU],A79,Orders[Статус],"Возврат"))</x:f>
      </x:c>
      <x:c r="G79" s="51"/>
      <x:c r="H79" s="11" t="str">
        <x:f>IF(A79="","",C79+D79-E79+F79-G79)</x:f>
      </x:c>
      <x:c r="I79" s="51"/>
      <x:c r="J79" s="11" t="str">
        <x:f>IF(A79="","",IF(H79&lt;0,"Ошибка: минус",IF(H79&lt;=I79,"Закупить","Достаточно")))</x:f>
      </x:c>
    </x:row>
    <x:row r="80" ht="23" customHeight="1">
      <x:c r="A80" s="51"/>
      <x:c r="B80" s="11" t="str">
        <x:f>IF(A80="","",_xlfn.IFNA(INDEX(Products[Товар],MATCH(A80,Products[SKU],0)),"Нет SKU"))</x:f>
      </x:c>
      <x:c r="C80" s="51"/>
      <x:c r="D80" s="11" t="str">
        <x:f>IF(A80="","",SUMIFS(Purchases[Количество],Purchases[SKU],A80))</x:f>
      </x:c>
      <x:c r="E80" s="11" t="str">
        <x:f>IF(A80="","",SUMIFS(Orders[Выбыло шт.],Orders[SKU],A80))</x:f>
      </x:c>
      <x:c r="F80" s="11" t="str">
        <x:f>IF(A80="","",SUMIFS(Orders[Возврат на склад шт.],Orders[SKU],A80,Orders[Статус],"Возврат"))</x:f>
      </x:c>
      <x:c r="G80" s="51"/>
      <x:c r="H80" s="11" t="str">
        <x:f>IF(A80="","",C80+D80-E80+F80-G80)</x:f>
      </x:c>
      <x:c r="I80" s="51"/>
      <x:c r="J80" s="11" t="str">
        <x:f>IF(A80="","",IF(H80&lt;0,"Ошибка: минус",IF(H80&lt;=I80,"Закупить","Достаточно")))</x:f>
      </x:c>
    </x:row>
    <x:row r="81" ht="23" customHeight="1">
      <x:c r="A81" s="51"/>
      <x:c r="B81" s="11" t="str">
        <x:f>IF(A81="","",_xlfn.IFNA(INDEX(Products[Товар],MATCH(A81,Products[SKU],0)),"Нет SKU"))</x:f>
      </x:c>
      <x:c r="C81" s="51"/>
      <x:c r="D81" s="11" t="str">
        <x:f>IF(A81="","",SUMIFS(Purchases[Количество],Purchases[SKU],A81))</x:f>
      </x:c>
      <x:c r="E81" s="11" t="str">
        <x:f>IF(A81="","",SUMIFS(Orders[Выбыло шт.],Orders[SKU],A81))</x:f>
      </x:c>
      <x:c r="F81" s="11" t="str">
        <x:f>IF(A81="","",SUMIFS(Orders[Возврат на склад шт.],Orders[SKU],A81,Orders[Статус],"Возврат"))</x:f>
      </x:c>
      <x:c r="G81" s="51"/>
      <x:c r="H81" s="11" t="str">
        <x:f>IF(A81="","",C81+D81-E81+F81-G81)</x:f>
      </x:c>
      <x:c r="I81" s="51"/>
      <x:c r="J81" s="11" t="str">
        <x:f>IF(A81="","",IF(H81&lt;0,"Ошибка: минус",IF(H81&lt;=I81,"Закупить","Достаточно")))</x:f>
      </x:c>
    </x:row>
    <x:row r="82" ht="23" customHeight="1">
      <x:c r="A82" s="51"/>
      <x:c r="B82" s="11" t="str">
        <x:f>IF(A82="","",_xlfn.IFNA(INDEX(Products[Товар],MATCH(A82,Products[SKU],0)),"Нет SKU"))</x:f>
      </x:c>
      <x:c r="C82" s="51"/>
      <x:c r="D82" s="11" t="str">
        <x:f>IF(A82="","",SUMIFS(Purchases[Количество],Purchases[SKU],A82))</x:f>
      </x:c>
      <x:c r="E82" s="11" t="str">
        <x:f>IF(A82="","",SUMIFS(Orders[Выбыло шт.],Orders[SKU],A82))</x:f>
      </x:c>
      <x:c r="F82" s="11" t="str">
        <x:f>IF(A82="","",SUMIFS(Orders[Возврат на склад шт.],Orders[SKU],A82,Orders[Статус],"Возврат"))</x:f>
      </x:c>
      <x:c r="G82" s="51"/>
      <x:c r="H82" s="11" t="str">
        <x:f>IF(A82="","",C82+D82-E82+F82-G82)</x:f>
      </x:c>
      <x:c r="I82" s="51"/>
      <x:c r="J82" s="11" t="str">
        <x:f>IF(A82="","",IF(H82&lt;0,"Ошибка: минус",IF(H82&lt;=I82,"Закупить","Достаточно")))</x:f>
      </x:c>
    </x:row>
    <x:row r="83" ht="23" customHeight="1">
      <x:c r="A83" s="51"/>
      <x:c r="B83" s="11" t="str">
        <x:f>IF(A83="","",_xlfn.IFNA(INDEX(Products[Товар],MATCH(A83,Products[SKU],0)),"Нет SKU"))</x:f>
      </x:c>
      <x:c r="C83" s="51"/>
      <x:c r="D83" s="11" t="str">
        <x:f>IF(A83="","",SUMIFS(Purchases[Количество],Purchases[SKU],A83))</x:f>
      </x:c>
      <x:c r="E83" s="11" t="str">
        <x:f>IF(A83="","",SUMIFS(Orders[Выбыло шт.],Orders[SKU],A83))</x:f>
      </x:c>
      <x:c r="F83" s="11" t="str">
        <x:f>IF(A83="","",SUMIFS(Orders[Возврат на склад шт.],Orders[SKU],A83,Orders[Статус],"Возврат"))</x:f>
      </x:c>
      <x:c r="G83" s="51"/>
      <x:c r="H83" s="11" t="str">
        <x:f>IF(A83="","",C83+D83-E83+F83-G83)</x:f>
      </x:c>
      <x:c r="I83" s="51"/>
      <x:c r="J83" s="11" t="str">
        <x:f>IF(A83="","",IF(H83&lt;0,"Ошибка: минус",IF(H83&lt;=I83,"Закупить","Достаточно")))</x:f>
      </x:c>
    </x:row>
    <x:row r="84" ht="23" customHeight="1">
      <x:c r="A84" s="51"/>
      <x:c r="B84" s="11" t="str">
        <x:f>IF(A84="","",_xlfn.IFNA(INDEX(Products[Товар],MATCH(A84,Products[SKU],0)),"Нет SKU"))</x:f>
      </x:c>
      <x:c r="C84" s="51"/>
      <x:c r="D84" s="11" t="str">
        <x:f>IF(A84="","",SUMIFS(Purchases[Количество],Purchases[SKU],A84))</x:f>
      </x:c>
      <x:c r="E84" s="11" t="str">
        <x:f>IF(A84="","",SUMIFS(Orders[Выбыло шт.],Orders[SKU],A84))</x:f>
      </x:c>
      <x:c r="F84" s="11" t="str">
        <x:f>IF(A84="","",SUMIFS(Orders[Возврат на склад шт.],Orders[SKU],A84,Orders[Статус],"Возврат"))</x:f>
      </x:c>
      <x:c r="G84" s="51"/>
      <x:c r="H84" s="11" t="str">
        <x:f>IF(A84="","",C84+D84-E84+F84-G84)</x:f>
      </x:c>
      <x:c r="I84" s="51"/>
      <x:c r="J84" s="11" t="str">
        <x:f>IF(A84="","",IF(H84&lt;0,"Ошибка: минус",IF(H84&lt;=I84,"Закупить","Достаточно")))</x:f>
      </x:c>
    </x:row>
    <x:row r="85" ht="23" customHeight="1">
      <x:c r="A85" s="51"/>
      <x:c r="B85" s="11" t="str">
        <x:f>IF(A85="","",_xlfn.IFNA(INDEX(Products[Товар],MATCH(A85,Products[SKU],0)),"Нет SKU"))</x:f>
      </x:c>
      <x:c r="C85" s="51"/>
      <x:c r="D85" s="11" t="str">
        <x:f>IF(A85="","",SUMIFS(Purchases[Количество],Purchases[SKU],A85))</x:f>
      </x:c>
      <x:c r="E85" s="11" t="str">
        <x:f>IF(A85="","",SUMIFS(Orders[Выбыло шт.],Orders[SKU],A85))</x:f>
      </x:c>
      <x:c r="F85" s="11" t="str">
        <x:f>IF(A85="","",SUMIFS(Orders[Возврат на склад шт.],Orders[SKU],A85,Orders[Статус],"Возврат"))</x:f>
      </x:c>
      <x:c r="G85" s="51"/>
      <x:c r="H85" s="11" t="str">
        <x:f>IF(A85="","",C85+D85-E85+F85-G85)</x:f>
      </x:c>
      <x:c r="I85" s="51"/>
      <x:c r="J85" s="11" t="str">
        <x:f>IF(A85="","",IF(H85&lt;0,"Ошибка: минус",IF(H85&lt;=I85,"Закупить","Достаточно")))</x:f>
      </x:c>
    </x:row>
    <x:row r="86" ht="23" customHeight="1">
      <x:c r="A86" s="51"/>
      <x:c r="B86" s="11" t="str">
        <x:f>IF(A86="","",_xlfn.IFNA(INDEX(Products[Товар],MATCH(A86,Products[SKU],0)),"Нет SKU"))</x:f>
      </x:c>
      <x:c r="C86" s="51"/>
      <x:c r="D86" s="11" t="str">
        <x:f>IF(A86="","",SUMIFS(Purchases[Количество],Purchases[SKU],A86))</x:f>
      </x:c>
      <x:c r="E86" s="11" t="str">
        <x:f>IF(A86="","",SUMIFS(Orders[Выбыло шт.],Orders[SKU],A86))</x:f>
      </x:c>
      <x:c r="F86" s="11" t="str">
        <x:f>IF(A86="","",SUMIFS(Orders[Возврат на склад шт.],Orders[SKU],A86,Orders[Статус],"Возврат"))</x:f>
      </x:c>
      <x:c r="G86" s="51"/>
      <x:c r="H86" s="11" t="str">
        <x:f>IF(A86="","",C86+D86-E86+F86-G86)</x:f>
      </x:c>
      <x:c r="I86" s="51"/>
      <x:c r="J86" s="11" t="str">
        <x:f>IF(A86="","",IF(H86&lt;0,"Ошибка: минус",IF(H86&lt;=I86,"Закупить","Достаточно")))</x:f>
      </x:c>
    </x:row>
    <x:row r="87" ht="23" customHeight="1">
      <x:c r="A87" s="51"/>
      <x:c r="B87" s="11" t="str">
        <x:f>IF(A87="","",_xlfn.IFNA(INDEX(Products[Товар],MATCH(A87,Products[SKU],0)),"Нет SKU"))</x:f>
      </x:c>
      <x:c r="C87" s="51"/>
      <x:c r="D87" s="11" t="str">
        <x:f>IF(A87="","",SUMIFS(Purchases[Количество],Purchases[SKU],A87))</x:f>
      </x:c>
      <x:c r="E87" s="11" t="str">
        <x:f>IF(A87="","",SUMIFS(Orders[Выбыло шт.],Orders[SKU],A87))</x:f>
      </x:c>
      <x:c r="F87" s="11" t="str">
        <x:f>IF(A87="","",SUMIFS(Orders[Возврат на склад шт.],Orders[SKU],A87,Orders[Статус],"Возврат"))</x:f>
      </x:c>
      <x:c r="G87" s="51"/>
      <x:c r="H87" s="11" t="str">
        <x:f>IF(A87="","",C87+D87-E87+F87-G87)</x:f>
      </x:c>
      <x:c r="I87" s="51"/>
      <x:c r="J87" s="11" t="str">
        <x:f>IF(A87="","",IF(H87&lt;0,"Ошибка: минус",IF(H87&lt;=I87,"Закупить","Достаточно")))</x:f>
      </x:c>
    </x:row>
    <x:row r="88" ht="23" customHeight="1">
      <x:c r="A88" s="51"/>
      <x:c r="B88" s="11" t="str">
        <x:f>IF(A88="","",_xlfn.IFNA(INDEX(Products[Товар],MATCH(A88,Products[SKU],0)),"Нет SKU"))</x:f>
      </x:c>
      <x:c r="C88" s="51"/>
      <x:c r="D88" s="11" t="str">
        <x:f>IF(A88="","",SUMIFS(Purchases[Количество],Purchases[SKU],A88))</x:f>
      </x:c>
      <x:c r="E88" s="11" t="str">
        <x:f>IF(A88="","",SUMIFS(Orders[Выбыло шт.],Orders[SKU],A88))</x:f>
      </x:c>
      <x:c r="F88" s="11" t="str">
        <x:f>IF(A88="","",SUMIFS(Orders[Возврат на склад шт.],Orders[SKU],A88,Orders[Статус],"Возврат"))</x:f>
      </x:c>
      <x:c r="G88" s="51"/>
      <x:c r="H88" s="11" t="str">
        <x:f>IF(A88="","",C88+D88-E88+F88-G88)</x:f>
      </x:c>
      <x:c r="I88" s="51"/>
      <x:c r="J88" s="11" t="str">
        <x:f>IF(A88="","",IF(H88&lt;0,"Ошибка: минус",IF(H88&lt;=I88,"Закупить","Достаточно")))</x:f>
      </x:c>
    </x:row>
    <x:row r="89" ht="23" customHeight="1">
      <x:c r="A89" s="51"/>
      <x:c r="B89" s="11" t="str">
        <x:f>IF(A89="","",_xlfn.IFNA(INDEX(Products[Товар],MATCH(A89,Products[SKU],0)),"Нет SKU"))</x:f>
      </x:c>
      <x:c r="C89" s="51"/>
      <x:c r="D89" s="11" t="str">
        <x:f>IF(A89="","",SUMIFS(Purchases[Количество],Purchases[SKU],A89))</x:f>
      </x:c>
      <x:c r="E89" s="11" t="str">
        <x:f>IF(A89="","",SUMIFS(Orders[Выбыло шт.],Orders[SKU],A89))</x:f>
      </x:c>
      <x:c r="F89" s="11" t="str">
        <x:f>IF(A89="","",SUMIFS(Orders[Возврат на склад шт.],Orders[SKU],A89,Orders[Статус],"Возврат"))</x:f>
      </x:c>
      <x:c r="G89" s="51"/>
      <x:c r="H89" s="11" t="str">
        <x:f>IF(A89="","",C89+D89-E89+F89-G89)</x:f>
      </x:c>
      <x:c r="I89" s="51"/>
      <x:c r="J89" s="11" t="str">
        <x:f>IF(A89="","",IF(H89&lt;0,"Ошибка: минус",IF(H89&lt;=I89,"Закупить","Достаточно")))</x:f>
      </x:c>
    </x:row>
    <x:row r="90" ht="23" customHeight="1">
      <x:c r="A90" s="51"/>
      <x:c r="B90" s="11" t="str">
        <x:f>IF(A90="","",_xlfn.IFNA(INDEX(Products[Товар],MATCH(A90,Products[SKU],0)),"Нет SKU"))</x:f>
      </x:c>
      <x:c r="C90" s="51"/>
      <x:c r="D90" s="11" t="str">
        <x:f>IF(A90="","",SUMIFS(Purchases[Количество],Purchases[SKU],A90))</x:f>
      </x:c>
      <x:c r="E90" s="11" t="str">
        <x:f>IF(A90="","",SUMIFS(Orders[Выбыло шт.],Orders[SKU],A90))</x:f>
      </x:c>
      <x:c r="F90" s="11" t="str">
        <x:f>IF(A90="","",SUMIFS(Orders[Возврат на склад шт.],Orders[SKU],A90,Orders[Статус],"Возврат"))</x:f>
      </x:c>
      <x:c r="G90" s="51"/>
      <x:c r="H90" s="11" t="str">
        <x:f>IF(A90="","",C90+D90-E90+F90-G90)</x:f>
      </x:c>
      <x:c r="I90" s="51"/>
      <x:c r="J90" s="11" t="str">
        <x:f>IF(A90="","",IF(H90&lt;0,"Ошибка: минус",IF(H90&lt;=I90,"Закупить","Достаточно")))</x:f>
      </x:c>
    </x:row>
    <x:row r="91" ht="23" customHeight="1">
      <x:c r="A91" s="51"/>
      <x:c r="B91" s="11" t="str">
        <x:f>IF(A91="","",_xlfn.IFNA(INDEX(Products[Товар],MATCH(A91,Products[SKU],0)),"Нет SKU"))</x:f>
      </x:c>
      <x:c r="C91" s="51"/>
      <x:c r="D91" s="11" t="str">
        <x:f>IF(A91="","",SUMIFS(Purchases[Количество],Purchases[SKU],A91))</x:f>
      </x:c>
      <x:c r="E91" s="11" t="str">
        <x:f>IF(A91="","",SUMIFS(Orders[Выбыло шт.],Orders[SKU],A91))</x:f>
      </x:c>
      <x:c r="F91" s="11" t="str">
        <x:f>IF(A91="","",SUMIFS(Orders[Возврат на склад шт.],Orders[SKU],A91,Orders[Статус],"Возврат"))</x:f>
      </x:c>
      <x:c r="G91" s="51"/>
      <x:c r="H91" s="11" t="str">
        <x:f>IF(A91="","",C91+D91-E91+F91-G91)</x:f>
      </x:c>
      <x:c r="I91" s="51"/>
      <x:c r="J91" s="11" t="str">
        <x:f>IF(A91="","",IF(H91&lt;0,"Ошибка: минус",IF(H91&lt;=I91,"Закупить","Достаточно")))</x:f>
      </x:c>
    </x:row>
    <x:row r="92" ht="23" customHeight="1">
      <x:c r="A92" s="51"/>
      <x:c r="B92" s="11" t="str">
        <x:f>IF(A92="","",_xlfn.IFNA(INDEX(Products[Товар],MATCH(A92,Products[SKU],0)),"Нет SKU"))</x:f>
      </x:c>
      <x:c r="C92" s="51"/>
      <x:c r="D92" s="11" t="str">
        <x:f>IF(A92="","",SUMIFS(Purchases[Количество],Purchases[SKU],A92))</x:f>
      </x:c>
      <x:c r="E92" s="11" t="str">
        <x:f>IF(A92="","",SUMIFS(Orders[Выбыло шт.],Orders[SKU],A92))</x:f>
      </x:c>
      <x:c r="F92" s="11" t="str">
        <x:f>IF(A92="","",SUMIFS(Orders[Возврат на склад шт.],Orders[SKU],A92,Orders[Статус],"Возврат"))</x:f>
      </x:c>
      <x:c r="G92" s="51"/>
      <x:c r="H92" s="11" t="str">
        <x:f>IF(A92="","",C92+D92-E92+F92-G92)</x:f>
      </x:c>
      <x:c r="I92" s="51"/>
      <x:c r="J92" s="11" t="str">
        <x:f>IF(A92="","",IF(H92&lt;0,"Ошибка: минус",IF(H92&lt;=I92,"Закупить","Достаточно")))</x:f>
      </x:c>
    </x:row>
    <x:row r="93" ht="23" customHeight="1">
      <x:c r="A93" s="51"/>
      <x:c r="B93" s="11" t="str">
        <x:f>IF(A93="","",_xlfn.IFNA(INDEX(Products[Товар],MATCH(A93,Products[SKU],0)),"Нет SKU"))</x:f>
      </x:c>
      <x:c r="C93" s="51"/>
      <x:c r="D93" s="11" t="str">
        <x:f>IF(A93="","",SUMIFS(Purchases[Количество],Purchases[SKU],A93))</x:f>
      </x:c>
      <x:c r="E93" s="11" t="str">
        <x:f>IF(A93="","",SUMIFS(Orders[Выбыло шт.],Orders[SKU],A93))</x:f>
      </x:c>
      <x:c r="F93" s="11" t="str">
        <x:f>IF(A93="","",SUMIFS(Orders[Возврат на склад шт.],Orders[SKU],A93,Orders[Статус],"Возврат"))</x:f>
      </x:c>
      <x:c r="G93" s="51"/>
      <x:c r="H93" s="11" t="str">
        <x:f>IF(A93="","",C93+D93-E93+F93-G93)</x:f>
      </x:c>
      <x:c r="I93" s="51"/>
      <x:c r="J93" s="11" t="str">
        <x:f>IF(A93="","",IF(H93&lt;0,"Ошибка: минус",IF(H93&lt;=I93,"Закупить","Достаточно")))</x:f>
      </x:c>
    </x:row>
    <x:row r="94" ht="23" customHeight="1">
      <x:c r="A94" s="51"/>
      <x:c r="B94" s="11" t="str">
        <x:f>IF(A94="","",_xlfn.IFNA(INDEX(Products[Товар],MATCH(A94,Products[SKU],0)),"Нет SKU"))</x:f>
      </x:c>
      <x:c r="C94" s="51"/>
      <x:c r="D94" s="11" t="str">
        <x:f>IF(A94="","",SUMIFS(Purchases[Количество],Purchases[SKU],A94))</x:f>
      </x:c>
      <x:c r="E94" s="11" t="str">
        <x:f>IF(A94="","",SUMIFS(Orders[Выбыло шт.],Orders[SKU],A94))</x:f>
      </x:c>
      <x:c r="F94" s="11" t="str">
        <x:f>IF(A94="","",SUMIFS(Orders[Возврат на склад шт.],Orders[SKU],A94,Orders[Статус],"Возврат"))</x:f>
      </x:c>
      <x:c r="G94" s="51"/>
      <x:c r="H94" s="11" t="str">
        <x:f>IF(A94="","",C94+D94-E94+F94-G94)</x:f>
      </x:c>
      <x:c r="I94" s="51"/>
      <x:c r="J94" s="11" t="str">
        <x:f>IF(A94="","",IF(H94&lt;0,"Ошибка: минус",IF(H94&lt;=I94,"Закупить","Достаточно")))</x:f>
      </x:c>
    </x:row>
    <x:row r="95" ht="23" customHeight="1">
      <x:c r="A95" s="51"/>
      <x:c r="B95" s="11" t="str">
        <x:f>IF(A95="","",_xlfn.IFNA(INDEX(Products[Товар],MATCH(A95,Products[SKU],0)),"Нет SKU"))</x:f>
      </x:c>
      <x:c r="C95" s="51"/>
      <x:c r="D95" s="11" t="str">
        <x:f>IF(A95="","",SUMIFS(Purchases[Количество],Purchases[SKU],A95))</x:f>
      </x:c>
      <x:c r="E95" s="11" t="str">
        <x:f>IF(A95="","",SUMIFS(Orders[Выбыло шт.],Orders[SKU],A95))</x:f>
      </x:c>
      <x:c r="F95" s="11" t="str">
        <x:f>IF(A95="","",SUMIFS(Orders[Возврат на склад шт.],Orders[SKU],A95,Orders[Статус],"Возврат"))</x:f>
      </x:c>
      <x:c r="G95" s="51"/>
      <x:c r="H95" s="11" t="str">
        <x:f>IF(A95="","",C95+D95-E95+F95-G95)</x:f>
      </x:c>
      <x:c r="I95" s="51"/>
      <x:c r="J95" s="11" t="str">
        <x:f>IF(A95="","",IF(H95&lt;0,"Ошибка: минус",IF(H95&lt;=I95,"Закупить","Достаточно")))</x:f>
      </x:c>
    </x:row>
    <x:row r="96" ht="23" customHeight="1">
      <x:c r="A96" s="51"/>
      <x:c r="B96" s="11" t="str">
        <x:f>IF(A96="","",_xlfn.IFNA(INDEX(Products[Товар],MATCH(A96,Products[SKU],0)),"Нет SKU"))</x:f>
      </x:c>
      <x:c r="C96" s="51"/>
      <x:c r="D96" s="11" t="str">
        <x:f>IF(A96="","",SUMIFS(Purchases[Количество],Purchases[SKU],A96))</x:f>
      </x:c>
      <x:c r="E96" s="11" t="str">
        <x:f>IF(A96="","",SUMIFS(Orders[Выбыло шт.],Orders[SKU],A96))</x:f>
      </x:c>
      <x:c r="F96" s="11" t="str">
        <x:f>IF(A96="","",SUMIFS(Orders[Возврат на склад шт.],Orders[SKU],A96,Orders[Статус],"Возврат"))</x:f>
      </x:c>
      <x:c r="G96" s="51"/>
      <x:c r="H96" s="11" t="str">
        <x:f>IF(A96="","",C96+D96-E96+F96-G96)</x:f>
      </x:c>
      <x:c r="I96" s="51"/>
      <x:c r="J96" s="11" t="str">
        <x:f>IF(A96="","",IF(H96&lt;0,"Ошибка: минус",IF(H96&lt;=I96,"Закупить","Достаточно")))</x:f>
      </x:c>
    </x:row>
    <x:row r="97" ht="23" customHeight="1">
      <x:c r="A97" s="51"/>
      <x:c r="B97" s="11" t="str">
        <x:f>IF(A97="","",_xlfn.IFNA(INDEX(Products[Товар],MATCH(A97,Products[SKU],0)),"Нет SKU"))</x:f>
      </x:c>
      <x:c r="C97" s="51"/>
      <x:c r="D97" s="11" t="str">
        <x:f>IF(A97="","",SUMIFS(Purchases[Количество],Purchases[SKU],A97))</x:f>
      </x:c>
      <x:c r="E97" s="11" t="str">
        <x:f>IF(A97="","",SUMIFS(Orders[Выбыло шт.],Orders[SKU],A97))</x:f>
      </x:c>
      <x:c r="F97" s="11" t="str">
        <x:f>IF(A97="","",SUMIFS(Orders[Возврат на склад шт.],Orders[SKU],A97,Orders[Статус],"Возврат"))</x:f>
      </x:c>
      <x:c r="G97" s="51"/>
      <x:c r="H97" s="11" t="str">
        <x:f>IF(A97="","",C97+D97-E97+F97-G97)</x:f>
      </x:c>
      <x:c r="I97" s="51"/>
      <x:c r="J97" s="11" t="str">
        <x:f>IF(A97="","",IF(H97&lt;0,"Ошибка: минус",IF(H97&lt;=I97,"Закупить","Достаточно")))</x:f>
      </x:c>
    </x:row>
    <x:row r="98" ht="23" customHeight="1">
      <x:c r="A98" s="51"/>
      <x:c r="B98" s="11" t="str">
        <x:f>IF(A98="","",_xlfn.IFNA(INDEX(Products[Товар],MATCH(A98,Products[SKU],0)),"Нет SKU"))</x:f>
      </x:c>
      <x:c r="C98" s="51"/>
      <x:c r="D98" s="11" t="str">
        <x:f>IF(A98="","",SUMIFS(Purchases[Количество],Purchases[SKU],A98))</x:f>
      </x:c>
      <x:c r="E98" s="11" t="str">
        <x:f>IF(A98="","",SUMIFS(Orders[Выбыло шт.],Orders[SKU],A98))</x:f>
      </x:c>
      <x:c r="F98" s="11" t="str">
        <x:f>IF(A98="","",SUMIFS(Orders[Возврат на склад шт.],Orders[SKU],A98,Orders[Статус],"Возврат"))</x:f>
      </x:c>
      <x:c r="G98" s="51"/>
      <x:c r="H98" s="11" t="str">
        <x:f>IF(A98="","",C98+D98-E98+F98-G98)</x:f>
      </x:c>
      <x:c r="I98" s="51"/>
      <x:c r="J98" s="11" t="str">
        <x:f>IF(A98="","",IF(H98&lt;0,"Ошибка: минус",IF(H98&lt;=I98,"Закупить","Достаточно")))</x:f>
      </x:c>
    </x:row>
    <x:row r="99" ht="23" customHeight="1">
      <x:c r="A99" s="51"/>
      <x:c r="B99" s="11" t="str">
        <x:f>IF(A99="","",_xlfn.IFNA(INDEX(Products[Товар],MATCH(A99,Products[SKU],0)),"Нет SKU"))</x:f>
      </x:c>
      <x:c r="C99" s="51"/>
      <x:c r="D99" s="11" t="str">
        <x:f>IF(A99="","",SUMIFS(Purchases[Количество],Purchases[SKU],A99))</x:f>
      </x:c>
      <x:c r="E99" s="11" t="str">
        <x:f>IF(A99="","",SUMIFS(Orders[Выбыло шт.],Orders[SKU],A99))</x:f>
      </x:c>
      <x:c r="F99" s="11" t="str">
        <x:f>IF(A99="","",SUMIFS(Orders[Возврат на склад шт.],Orders[SKU],A99,Orders[Статус],"Возврат"))</x:f>
      </x:c>
      <x:c r="G99" s="51"/>
      <x:c r="H99" s="11" t="str">
        <x:f>IF(A99="","",C99+D99-E99+F99-G99)</x:f>
      </x:c>
      <x:c r="I99" s="51"/>
      <x:c r="J99" s="11" t="str">
        <x:f>IF(A99="","",IF(H99&lt;0,"Ошибка: минус",IF(H99&lt;=I99,"Закупить","Достаточно")))</x:f>
      </x:c>
    </x:row>
    <x:row r="100" ht="23" customHeight="1">
      <x:c r="A100" s="51"/>
      <x:c r="B100" s="11" t="str">
        <x:f>IF(A100="","",_xlfn.IFNA(INDEX(Products[Товар],MATCH(A100,Products[SKU],0)),"Нет SKU"))</x:f>
      </x:c>
      <x:c r="C100" s="51"/>
      <x:c r="D100" s="11" t="str">
        <x:f>IF(A100="","",SUMIFS(Purchases[Количество],Purchases[SKU],A100))</x:f>
      </x:c>
      <x:c r="E100" s="11" t="str">
        <x:f>IF(A100="","",SUMIFS(Orders[Выбыло шт.],Orders[SKU],A100))</x:f>
      </x:c>
      <x:c r="F100" s="11" t="str">
        <x:f>IF(A100="","",SUMIFS(Orders[Возврат на склад шт.],Orders[SKU],A100,Orders[Статус],"Возврат"))</x:f>
      </x:c>
      <x:c r="G100" s="51"/>
      <x:c r="H100" s="11" t="str">
        <x:f>IF(A100="","",C100+D100-E100+F100-G100)</x:f>
      </x:c>
      <x:c r="I100" s="51"/>
      <x:c r="J100" s="11" t="str">
        <x:f>IF(A100="","",IF(H100&lt;0,"Ошибка: минус",IF(H100&lt;=I100,"Закупить","Достаточно")))</x:f>
      </x:c>
    </x:row>
    <x:row r="101" ht="23" customHeight="1">
      <x:c r="A101" s="51"/>
      <x:c r="B101" s="11" t="str">
        <x:f>IF(A101="","",_xlfn.IFNA(INDEX(Products[Товар],MATCH(A101,Products[SKU],0)),"Нет SKU"))</x:f>
      </x:c>
      <x:c r="C101" s="51"/>
      <x:c r="D101" s="11" t="str">
        <x:f>IF(A101="","",SUMIFS(Purchases[Количество],Purchases[SKU],A101))</x:f>
      </x:c>
      <x:c r="E101" s="11" t="str">
        <x:f>IF(A101="","",SUMIFS(Orders[Выбыло шт.],Orders[SKU],A101))</x:f>
      </x:c>
      <x:c r="F101" s="11" t="str">
        <x:f>IF(A101="","",SUMIFS(Orders[Возврат на склад шт.],Orders[SKU],A101,Orders[Статус],"Возврат"))</x:f>
      </x:c>
      <x:c r="G101" s="51"/>
      <x:c r="H101" s="11" t="str">
        <x:f>IF(A101="","",C101+D101-E101+F101-G101)</x:f>
      </x:c>
      <x:c r="I101" s="51"/>
      <x:c r="J101" s="11" t="str">
        <x:f>IF(A101="","",IF(H101&lt;0,"Ошибка: минус",IF(H101&lt;=I101,"Закупить","Достаточно")))</x:f>
      </x:c>
    </x:row>
    <x:row r="102" ht="23" customHeight="1">
      <x:c r="A102" s="51"/>
      <x:c r="B102" s="11" t="str">
        <x:f>IF(A102="","",_xlfn.IFNA(INDEX(Products[Товар],MATCH(A102,Products[SKU],0)),"Нет SKU"))</x:f>
      </x:c>
      <x:c r="C102" s="51"/>
      <x:c r="D102" s="11" t="str">
        <x:f>IF(A102="","",SUMIFS(Purchases[Количество],Purchases[SKU],A102))</x:f>
      </x:c>
      <x:c r="E102" s="11" t="str">
        <x:f>IF(A102="","",SUMIFS(Orders[Выбыло шт.],Orders[SKU],A102))</x:f>
      </x:c>
      <x:c r="F102" s="11" t="str">
        <x:f>IF(A102="","",SUMIFS(Orders[Возврат на склад шт.],Orders[SKU],A102,Orders[Статус],"Возврат"))</x:f>
      </x:c>
      <x:c r="G102" s="51"/>
      <x:c r="H102" s="11" t="str">
        <x:f>IF(A102="","",C102+D102-E102+F102-G102)</x:f>
      </x:c>
      <x:c r="I102" s="51"/>
      <x:c r="J102" s="11" t="str">
        <x:f>IF(A102="","",IF(H102&lt;0,"Ошибка: минус",IF(H102&lt;=I102,"Закупить","Достаточно")))</x:f>
      </x:c>
    </x:row>
    <x:row r="103" ht="23" customHeight="1">
      <x:c r="A103" s="51"/>
      <x:c r="B103" s="11" t="str">
        <x:f>IF(A103="","",_xlfn.IFNA(INDEX(Products[Товар],MATCH(A103,Products[SKU],0)),"Нет SKU"))</x:f>
      </x:c>
      <x:c r="C103" s="51"/>
      <x:c r="D103" s="11" t="str">
        <x:f>IF(A103="","",SUMIFS(Purchases[Количество],Purchases[SKU],A103))</x:f>
      </x:c>
      <x:c r="E103" s="11" t="str">
        <x:f>IF(A103="","",SUMIFS(Orders[Выбыло шт.],Orders[SKU],A103))</x:f>
      </x:c>
      <x:c r="F103" s="11" t="str">
        <x:f>IF(A103="","",SUMIFS(Orders[Возврат на склад шт.],Orders[SKU],A103,Orders[Статус],"Возврат"))</x:f>
      </x:c>
      <x:c r="G103" s="51"/>
      <x:c r="H103" s="11" t="str">
        <x:f>IF(A103="","",C103+D103-E103+F103-G103)</x:f>
      </x:c>
      <x:c r="I103" s="51"/>
      <x:c r="J103" s="11" t="str">
        <x:f>IF(A103="","",IF(H103&lt;0,"Ошибка: минус",IF(H103&lt;=I103,"Закупить","Достаточно")))</x:f>
      </x:c>
    </x:row>
    <x:row r="104" ht="23" customHeight="1">
      <x:c r="A104" s="51"/>
      <x:c r="B104" s="11" t="str">
        <x:f>IF(A104="","",_xlfn.IFNA(INDEX(Products[Товар],MATCH(A104,Products[SKU],0)),"Нет SKU"))</x:f>
      </x:c>
      <x:c r="C104" s="51"/>
      <x:c r="D104" s="11" t="str">
        <x:f>IF(A104="","",SUMIFS(Purchases[Количество],Purchases[SKU],A104))</x:f>
      </x:c>
      <x:c r="E104" s="11" t="str">
        <x:f>IF(A104="","",SUMIFS(Orders[Выбыло шт.],Orders[SKU],A104))</x:f>
      </x:c>
      <x:c r="F104" s="11" t="str">
        <x:f>IF(A104="","",SUMIFS(Orders[Возврат на склад шт.],Orders[SKU],A104,Orders[Статус],"Возврат"))</x:f>
      </x:c>
      <x:c r="G104" s="51"/>
      <x:c r="H104" s="11" t="str">
        <x:f>IF(A104="","",C104+D104-E104+F104-G104)</x:f>
      </x:c>
      <x:c r="I104" s="51"/>
      <x:c r="J104" s="11" t="str">
        <x:f>IF(A104="","",IF(H104&lt;0,"Ошибка: минус",IF(H104&lt;=I104,"Закупить","Достаточно")))</x:f>
      </x:c>
    </x:row>
  </x:sheetData>
  <x:sheetProtection sheet="1" objects="1" scenarios="1" autoFilter="0" sort="0" selectLockedCells="0" selectUnlockedCells="0"/>
  <x:mergeCells>
    <x:mergeCell ref="A1:L1"/>
    <x:mergeCell ref="A2:L2"/>
  </x:mergeCells>
  <x:conditionalFormatting sqref="H5:H104">
    <x:cfRule type="cellIs" dxfId="2" priority="1" operator="lessThan">
      <x:formula>0</x:formula>
    </x:cfRule>
    <x:cfRule type="cellIs" dxfId="3" priority="2" operator="greaterThan">
      <x:formula>0</x:formula>
    </x:cfRule>
  </x:conditionalFormatting>
  <x:pageMargins left="0.7" right="0.7" top="0.75" bottom="0.75" header="0.3" footer="0.3"/>
  <x:tableParts count="1">
    <x:tablePart ns1:id="R0677162564c348ed"/>
  </x:tableParts>
</x:worksheet>
</file>

<file path=xl/worksheets/sheet9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34" customHeight="1">
      <x:c r="A1" s="2" t="str">
        <x:v>AutoHome  /  Закупки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56" customHeight="1">
      <x:c r="A4" s="9" t="str">
        <x:v>Дата</x:v>
      </x:c>
      <x:c r="B4" s="9" t="str">
        <x:v>Поставщик</x:v>
      </x:c>
      <x:c r="C4" s="9" t="str">
        <x:v>Товар</x:v>
      </x:c>
      <x:c r="D4" s="9" t="str">
        <x:v>SKU</x:v>
      </x:c>
      <x:c r="E4" s="9" t="str">
        <x:v>Количество</x:v>
      </x:c>
      <x:c r="F4" s="9" t="str">
        <x:v>Цена валюты</x:v>
      </x:c>
      <x:c r="G4" s="9" t="str">
        <x:v>Валюта</x:v>
      </x:c>
      <x:c r="H4" s="9" t="str">
        <x:v>Курс к ₸</x:v>
      </x:c>
      <x:c r="I4" s="9" t="str">
        <x:v>Карго партия</x:v>
      </x:c>
      <x:c r="J4" s="9" t="str">
        <x:v>Упаковка партия</x:v>
      </x:c>
      <x:c r="K4" s="9" t="str">
        <x:v>Себестоимость ед.</x:v>
      </x:c>
      <x:c r="L4" s="9" t="str">
        <x:v>Сумма партии</x:v>
      </x:c>
    </x:row>
    <x:row r="5" ht="23" customHeight="1">
      <x:c r="A5" s="54"/>
      <x:c r="B5" s="51"/>
      <x:c r="C5" s="51"/>
      <x:c r="D5" s="51"/>
      <x:c r="E5" s="51"/>
      <x:c r="F5" s="51"/>
      <x:c r="G5" s="51"/>
      <x:c r="H5" s="51"/>
      <x:c r="I5" s="55"/>
      <x:c r="J5" s="55"/>
      <x:c r="K5" s="16" t="str">
        <x:f>IF(OR(D5="",E5=0),"",L5/E5)</x:f>
      </x:c>
      <x:c r="L5" s="16" t="str">
        <x:f>IF(D5="","",E5*F5*H5+I5+J5)</x:f>
      </x:c>
    </x:row>
    <x:row r="6" ht="23" customHeight="1">
      <x:c r="A6" s="54"/>
      <x:c r="B6" s="51"/>
      <x:c r="C6" s="51"/>
      <x:c r="D6" s="51"/>
      <x:c r="E6" s="51"/>
      <x:c r="F6" s="51"/>
      <x:c r="G6" s="51"/>
      <x:c r="H6" s="51"/>
      <x:c r="I6" s="55"/>
      <x:c r="J6" s="55"/>
      <x:c r="K6" s="16" t="str">
        <x:f>IF(OR(D6="",E6=0),"",L6/E6)</x:f>
      </x:c>
      <x:c r="L6" s="16" t="str">
        <x:f>IF(D6="","",E6*F6*H6+I6+J6)</x:f>
      </x:c>
    </x:row>
    <x:row r="7" ht="23" customHeight="1">
      <x:c r="A7" s="54"/>
      <x:c r="B7" s="51"/>
      <x:c r="C7" s="51"/>
      <x:c r="D7" s="51"/>
      <x:c r="E7" s="51"/>
      <x:c r="F7" s="51"/>
      <x:c r="G7" s="51"/>
      <x:c r="H7" s="51"/>
      <x:c r="I7" s="55"/>
      <x:c r="J7" s="55"/>
      <x:c r="K7" s="16" t="str">
        <x:f>IF(OR(D7="",E7=0),"",L7/E7)</x:f>
      </x:c>
      <x:c r="L7" s="16" t="str">
        <x:f>IF(D7="","",E7*F7*H7+I7+J7)</x:f>
      </x:c>
    </x:row>
    <x:row r="8" ht="23" customHeight="1">
      <x:c r="A8" s="54"/>
      <x:c r="B8" s="51"/>
      <x:c r="C8" s="51"/>
      <x:c r="D8" s="51"/>
      <x:c r="E8" s="51"/>
      <x:c r="F8" s="51"/>
      <x:c r="G8" s="51"/>
      <x:c r="H8" s="51"/>
      <x:c r="I8" s="55"/>
      <x:c r="J8" s="55"/>
      <x:c r="K8" s="16" t="str">
        <x:f>IF(OR(D8="",E8=0),"",L8/E8)</x:f>
      </x:c>
      <x:c r="L8" s="16" t="str">
        <x:f>IF(D8="","",E8*F8*H8+I8+J8)</x:f>
      </x:c>
    </x:row>
    <x:row r="9" ht="23" customHeight="1">
      <x:c r="A9" s="54"/>
      <x:c r="B9" s="51"/>
      <x:c r="C9" s="51"/>
      <x:c r="D9" s="51"/>
      <x:c r="E9" s="51"/>
      <x:c r="F9" s="51"/>
      <x:c r="G9" s="51"/>
      <x:c r="H9" s="51"/>
      <x:c r="I9" s="55"/>
      <x:c r="J9" s="55"/>
      <x:c r="K9" s="16" t="str">
        <x:f>IF(OR(D9="",E9=0),"",L9/E9)</x:f>
      </x:c>
      <x:c r="L9" s="16" t="str">
        <x:f>IF(D9="","",E9*F9*H9+I9+J9)</x:f>
      </x:c>
    </x:row>
    <x:row r="10" ht="23" customHeight="1">
      <x:c r="A10" s="54"/>
      <x:c r="B10" s="51"/>
      <x:c r="C10" s="51"/>
      <x:c r="D10" s="51"/>
      <x:c r="E10" s="51"/>
      <x:c r="F10" s="51"/>
      <x:c r="G10" s="51"/>
      <x:c r="H10" s="51"/>
      <x:c r="I10" s="55"/>
      <x:c r="J10" s="55"/>
      <x:c r="K10" s="16" t="str">
        <x:f>IF(OR(D10="",E10=0),"",L10/E10)</x:f>
      </x:c>
      <x:c r="L10" s="16" t="str">
        <x:f>IF(D10="","",E10*F10*H10+I10+J10)</x:f>
      </x:c>
    </x:row>
    <x:row r="11" ht="23" customHeight="1">
      <x:c r="A11" s="54"/>
      <x:c r="B11" s="51"/>
      <x:c r="C11" s="51"/>
      <x:c r="D11" s="51"/>
      <x:c r="E11" s="51"/>
      <x:c r="F11" s="51"/>
      <x:c r="G11" s="51"/>
      <x:c r="H11" s="51"/>
      <x:c r="I11" s="55"/>
      <x:c r="J11" s="55"/>
      <x:c r="K11" s="16" t="str">
        <x:f>IF(OR(D11="",E11=0),"",L11/E11)</x:f>
      </x:c>
      <x:c r="L11" s="16" t="str">
        <x:f>IF(D11="","",E11*F11*H11+I11+J11)</x:f>
      </x:c>
    </x:row>
    <x:row r="12" ht="23" customHeight="1">
      <x:c r="A12" s="54"/>
      <x:c r="B12" s="51"/>
      <x:c r="C12" s="51"/>
      <x:c r="D12" s="51"/>
      <x:c r="E12" s="51"/>
      <x:c r="F12" s="51"/>
      <x:c r="G12" s="51"/>
      <x:c r="H12" s="51"/>
      <x:c r="I12" s="55"/>
      <x:c r="J12" s="55"/>
      <x:c r="K12" s="16" t="str">
        <x:f>IF(OR(D12="",E12=0),"",L12/E12)</x:f>
      </x:c>
      <x:c r="L12" s="16" t="str">
        <x:f>IF(D12="","",E12*F12*H12+I12+J12)</x:f>
      </x:c>
    </x:row>
    <x:row r="13" ht="23" customHeight="1">
      <x:c r="A13" s="54"/>
      <x:c r="B13" s="51"/>
      <x:c r="C13" s="51"/>
      <x:c r="D13" s="51"/>
      <x:c r="E13" s="51"/>
      <x:c r="F13" s="51"/>
      <x:c r="G13" s="51"/>
      <x:c r="H13" s="51"/>
      <x:c r="I13" s="55"/>
      <x:c r="J13" s="55"/>
      <x:c r="K13" s="16" t="str">
        <x:f>IF(OR(D13="",E13=0),"",L13/E13)</x:f>
      </x:c>
      <x:c r="L13" s="16" t="str">
        <x:f>IF(D13="","",E13*F13*H13+I13+J13)</x:f>
      </x:c>
    </x:row>
    <x:row r="14" ht="23" customHeight="1">
      <x:c r="A14" s="54"/>
      <x:c r="B14" s="51"/>
      <x:c r="C14" s="51"/>
      <x:c r="D14" s="51"/>
      <x:c r="E14" s="51"/>
      <x:c r="F14" s="51"/>
      <x:c r="G14" s="51"/>
      <x:c r="H14" s="51"/>
      <x:c r="I14" s="55"/>
      <x:c r="J14" s="55"/>
      <x:c r="K14" s="16" t="str">
        <x:f>IF(OR(D14="",E14=0),"",L14/E14)</x:f>
      </x:c>
      <x:c r="L14" s="16" t="str">
        <x:f>IF(D14="","",E14*F14*H14+I14+J14)</x:f>
      </x:c>
    </x:row>
    <x:row r="15" ht="23" customHeight="1">
      <x:c r="A15" s="54"/>
      <x:c r="B15" s="51"/>
      <x:c r="C15" s="51"/>
      <x:c r="D15" s="51"/>
      <x:c r="E15" s="51"/>
      <x:c r="F15" s="51"/>
      <x:c r="G15" s="51"/>
      <x:c r="H15" s="51"/>
      <x:c r="I15" s="55"/>
      <x:c r="J15" s="55"/>
      <x:c r="K15" s="16" t="str">
        <x:f>IF(OR(D15="",E15=0),"",L15/E15)</x:f>
      </x:c>
      <x:c r="L15" s="16" t="str">
        <x:f>IF(D15="","",E15*F15*H15+I15+J15)</x:f>
      </x:c>
    </x:row>
    <x:row r="16" ht="23" customHeight="1">
      <x:c r="A16" s="54"/>
      <x:c r="B16" s="51"/>
      <x:c r="C16" s="51"/>
      <x:c r="D16" s="51"/>
      <x:c r="E16" s="51"/>
      <x:c r="F16" s="51"/>
      <x:c r="G16" s="51"/>
      <x:c r="H16" s="51"/>
      <x:c r="I16" s="55"/>
      <x:c r="J16" s="55"/>
      <x:c r="K16" s="16" t="str">
        <x:f>IF(OR(D16="",E16=0),"",L16/E16)</x:f>
      </x:c>
      <x:c r="L16" s="16" t="str">
        <x:f>IF(D16="","",E16*F16*H16+I16+J16)</x:f>
      </x:c>
    </x:row>
    <x:row r="17" ht="23" customHeight="1">
      <x:c r="A17" s="54"/>
      <x:c r="B17" s="51"/>
      <x:c r="C17" s="51"/>
      <x:c r="D17" s="51"/>
      <x:c r="E17" s="51"/>
      <x:c r="F17" s="51"/>
      <x:c r="G17" s="51"/>
      <x:c r="H17" s="51"/>
      <x:c r="I17" s="55"/>
      <x:c r="J17" s="55"/>
      <x:c r="K17" s="16" t="str">
        <x:f>IF(OR(D17="",E17=0),"",L17/E17)</x:f>
      </x:c>
      <x:c r="L17" s="16" t="str">
        <x:f>IF(D17="","",E17*F17*H17+I17+J17)</x:f>
      </x:c>
    </x:row>
    <x:row r="18" ht="23" customHeight="1">
      <x:c r="A18" s="54"/>
      <x:c r="B18" s="51"/>
      <x:c r="C18" s="51"/>
      <x:c r="D18" s="51"/>
      <x:c r="E18" s="51"/>
      <x:c r="F18" s="51"/>
      <x:c r="G18" s="51"/>
      <x:c r="H18" s="51"/>
      <x:c r="I18" s="55"/>
      <x:c r="J18" s="55"/>
      <x:c r="K18" s="16" t="str">
        <x:f>IF(OR(D18="",E18=0),"",L18/E18)</x:f>
      </x:c>
      <x:c r="L18" s="16" t="str">
        <x:f>IF(D18="","",E18*F18*H18+I18+J18)</x:f>
      </x:c>
    </x:row>
    <x:row r="19" ht="23" customHeight="1">
      <x:c r="A19" s="54"/>
      <x:c r="B19" s="51"/>
      <x:c r="C19" s="51"/>
      <x:c r="D19" s="51"/>
      <x:c r="E19" s="51"/>
      <x:c r="F19" s="51"/>
      <x:c r="G19" s="51"/>
      <x:c r="H19" s="51"/>
      <x:c r="I19" s="55"/>
      <x:c r="J19" s="55"/>
      <x:c r="K19" s="16" t="str">
        <x:f>IF(OR(D19="",E19=0),"",L19/E19)</x:f>
      </x:c>
      <x:c r="L19" s="16" t="str">
        <x:f>IF(D19="","",E19*F19*H19+I19+J19)</x:f>
      </x:c>
    </x:row>
    <x:row r="20" ht="23" customHeight="1">
      <x:c r="A20" s="54"/>
      <x:c r="B20" s="51"/>
      <x:c r="C20" s="51"/>
      <x:c r="D20" s="51"/>
      <x:c r="E20" s="51"/>
      <x:c r="F20" s="51"/>
      <x:c r="G20" s="51"/>
      <x:c r="H20" s="51"/>
      <x:c r="I20" s="55"/>
      <x:c r="J20" s="55"/>
      <x:c r="K20" s="16" t="str">
        <x:f>IF(OR(D20="",E20=0),"",L20/E20)</x:f>
      </x:c>
      <x:c r="L20" s="16" t="str">
        <x:f>IF(D20="","",E20*F20*H20+I20+J20)</x:f>
      </x:c>
    </x:row>
    <x:row r="21" ht="23" customHeight="1">
      <x:c r="A21" s="54"/>
      <x:c r="B21" s="51"/>
      <x:c r="C21" s="51"/>
      <x:c r="D21" s="51"/>
      <x:c r="E21" s="51"/>
      <x:c r="F21" s="51"/>
      <x:c r="G21" s="51"/>
      <x:c r="H21" s="51"/>
      <x:c r="I21" s="55"/>
      <x:c r="J21" s="55"/>
      <x:c r="K21" s="16" t="str">
        <x:f>IF(OR(D21="",E21=0),"",L21/E21)</x:f>
      </x:c>
      <x:c r="L21" s="16" t="str">
        <x:f>IF(D21="","",E21*F21*H21+I21+J21)</x:f>
      </x:c>
    </x:row>
    <x:row r="22" ht="23" customHeight="1">
      <x:c r="A22" s="54"/>
      <x:c r="B22" s="51"/>
      <x:c r="C22" s="51"/>
      <x:c r="D22" s="51"/>
      <x:c r="E22" s="51"/>
      <x:c r="F22" s="51"/>
      <x:c r="G22" s="51"/>
      <x:c r="H22" s="51"/>
      <x:c r="I22" s="55"/>
      <x:c r="J22" s="55"/>
      <x:c r="K22" s="16" t="str">
        <x:f>IF(OR(D22="",E22=0),"",L22/E22)</x:f>
      </x:c>
      <x:c r="L22" s="16" t="str">
        <x:f>IF(D22="","",E22*F22*H22+I22+J22)</x:f>
      </x:c>
    </x:row>
    <x:row r="23" ht="23" customHeight="1">
      <x:c r="A23" s="54"/>
      <x:c r="B23" s="51"/>
      <x:c r="C23" s="51"/>
      <x:c r="D23" s="51"/>
      <x:c r="E23" s="51"/>
      <x:c r="F23" s="51"/>
      <x:c r="G23" s="51"/>
      <x:c r="H23" s="51"/>
      <x:c r="I23" s="55"/>
      <x:c r="J23" s="55"/>
      <x:c r="K23" s="16" t="str">
        <x:f>IF(OR(D23="",E23=0),"",L23/E23)</x:f>
      </x:c>
      <x:c r="L23" s="16" t="str">
        <x:f>IF(D23="","",E23*F23*H23+I23+J23)</x:f>
      </x:c>
    </x:row>
    <x:row r="24" ht="23" customHeight="1">
      <x:c r="A24" s="54"/>
      <x:c r="B24" s="51"/>
      <x:c r="C24" s="51"/>
      <x:c r="D24" s="51"/>
      <x:c r="E24" s="51"/>
      <x:c r="F24" s="51"/>
      <x:c r="G24" s="51"/>
      <x:c r="H24" s="51"/>
      <x:c r="I24" s="55"/>
      <x:c r="J24" s="55"/>
      <x:c r="K24" s="16" t="str">
        <x:f>IF(OR(D24="",E24=0),"",L24/E24)</x:f>
      </x:c>
      <x:c r="L24" s="16" t="str">
        <x:f>IF(D24="","",E24*F24*H24+I24+J24)</x:f>
      </x:c>
    </x:row>
    <x:row r="25" ht="23" customHeight="1">
      <x:c r="A25" s="54"/>
      <x:c r="B25" s="51"/>
      <x:c r="C25" s="51"/>
      <x:c r="D25" s="51"/>
      <x:c r="E25" s="51"/>
      <x:c r="F25" s="51"/>
      <x:c r="G25" s="51"/>
      <x:c r="H25" s="51"/>
      <x:c r="I25" s="55"/>
      <x:c r="J25" s="55"/>
      <x:c r="K25" s="16" t="str">
        <x:f>IF(OR(D25="",E25=0),"",L25/E25)</x:f>
      </x:c>
      <x:c r="L25" s="16" t="str">
        <x:f>IF(D25="","",E25*F25*H25+I25+J25)</x:f>
      </x:c>
    </x:row>
    <x:row r="26" ht="23" customHeight="1">
      <x:c r="A26" s="54"/>
      <x:c r="B26" s="51"/>
      <x:c r="C26" s="51"/>
      <x:c r="D26" s="51"/>
      <x:c r="E26" s="51"/>
      <x:c r="F26" s="51"/>
      <x:c r="G26" s="51"/>
      <x:c r="H26" s="51"/>
      <x:c r="I26" s="55"/>
      <x:c r="J26" s="55"/>
      <x:c r="K26" s="16" t="str">
        <x:f>IF(OR(D26="",E26=0),"",L26/E26)</x:f>
      </x:c>
      <x:c r="L26" s="16" t="str">
        <x:f>IF(D26="","",E26*F26*H26+I26+J26)</x:f>
      </x:c>
    </x:row>
    <x:row r="27" ht="23" customHeight="1">
      <x:c r="A27" s="54"/>
      <x:c r="B27" s="51"/>
      <x:c r="C27" s="51"/>
      <x:c r="D27" s="51"/>
      <x:c r="E27" s="51"/>
      <x:c r="F27" s="51"/>
      <x:c r="G27" s="51"/>
      <x:c r="H27" s="51"/>
      <x:c r="I27" s="55"/>
      <x:c r="J27" s="55"/>
      <x:c r="K27" s="16" t="str">
        <x:f>IF(OR(D27="",E27=0),"",L27/E27)</x:f>
      </x:c>
      <x:c r="L27" s="16" t="str">
        <x:f>IF(D27="","",E27*F27*H27+I27+J27)</x:f>
      </x:c>
    </x:row>
    <x:row r="28" ht="23" customHeight="1">
      <x:c r="A28" s="54"/>
      <x:c r="B28" s="51"/>
      <x:c r="C28" s="51"/>
      <x:c r="D28" s="51"/>
      <x:c r="E28" s="51"/>
      <x:c r="F28" s="51"/>
      <x:c r="G28" s="51"/>
      <x:c r="H28" s="51"/>
      <x:c r="I28" s="55"/>
      <x:c r="J28" s="55"/>
      <x:c r="K28" s="16" t="str">
        <x:f>IF(OR(D28="",E28=0),"",L28/E28)</x:f>
      </x:c>
      <x:c r="L28" s="16" t="str">
        <x:f>IF(D28="","",E28*F28*H28+I28+J28)</x:f>
      </x:c>
    </x:row>
    <x:row r="29" ht="23" customHeight="1">
      <x:c r="A29" s="54"/>
      <x:c r="B29" s="51"/>
      <x:c r="C29" s="51"/>
      <x:c r="D29" s="51"/>
      <x:c r="E29" s="51"/>
      <x:c r="F29" s="51"/>
      <x:c r="G29" s="51"/>
      <x:c r="H29" s="51"/>
      <x:c r="I29" s="55"/>
      <x:c r="J29" s="55"/>
      <x:c r="K29" s="16" t="str">
        <x:f>IF(OR(D29="",E29=0),"",L29/E29)</x:f>
      </x:c>
      <x:c r="L29" s="16" t="str">
        <x:f>IF(D29="","",E29*F29*H29+I29+J29)</x:f>
      </x:c>
    </x:row>
    <x:row r="30" ht="23" customHeight="1">
      <x:c r="A30" s="54"/>
      <x:c r="B30" s="51"/>
      <x:c r="C30" s="51"/>
      <x:c r="D30" s="51"/>
      <x:c r="E30" s="51"/>
      <x:c r="F30" s="51"/>
      <x:c r="G30" s="51"/>
      <x:c r="H30" s="51"/>
      <x:c r="I30" s="55"/>
      <x:c r="J30" s="55"/>
      <x:c r="K30" s="16" t="str">
        <x:f>IF(OR(D30="",E30=0),"",L30/E30)</x:f>
      </x:c>
      <x:c r="L30" s="16" t="str">
        <x:f>IF(D30="","",E30*F30*H30+I30+J30)</x:f>
      </x:c>
    </x:row>
    <x:row r="31" ht="23" customHeight="1">
      <x:c r="A31" s="54"/>
      <x:c r="B31" s="51"/>
      <x:c r="C31" s="51"/>
      <x:c r="D31" s="51"/>
      <x:c r="E31" s="51"/>
      <x:c r="F31" s="51"/>
      <x:c r="G31" s="51"/>
      <x:c r="H31" s="51"/>
      <x:c r="I31" s="55"/>
      <x:c r="J31" s="55"/>
      <x:c r="K31" s="16" t="str">
        <x:f>IF(OR(D31="",E31=0),"",L31/E31)</x:f>
      </x:c>
      <x:c r="L31" s="16" t="str">
        <x:f>IF(D31="","",E31*F31*H31+I31+J31)</x:f>
      </x:c>
    </x:row>
    <x:row r="32" ht="23" customHeight="1">
      <x:c r="A32" s="54"/>
      <x:c r="B32" s="51"/>
      <x:c r="C32" s="51"/>
      <x:c r="D32" s="51"/>
      <x:c r="E32" s="51"/>
      <x:c r="F32" s="51"/>
      <x:c r="G32" s="51"/>
      <x:c r="H32" s="51"/>
      <x:c r="I32" s="55"/>
      <x:c r="J32" s="55"/>
      <x:c r="K32" s="16" t="str">
        <x:f>IF(OR(D32="",E32=0),"",L32/E32)</x:f>
      </x:c>
      <x:c r="L32" s="16" t="str">
        <x:f>IF(D32="","",E32*F32*H32+I32+J32)</x:f>
      </x:c>
    </x:row>
    <x:row r="33" ht="23" customHeight="1">
      <x:c r="A33" s="54"/>
      <x:c r="B33" s="51"/>
      <x:c r="C33" s="51"/>
      <x:c r="D33" s="51"/>
      <x:c r="E33" s="51"/>
      <x:c r="F33" s="51"/>
      <x:c r="G33" s="51"/>
      <x:c r="H33" s="51"/>
      <x:c r="I33" s="55"/>
      <x:c r="J33" s="55"/>
      <x:c r="K33" s="16" t="str">
        <x:f>IF(OR(D33="",E33=0),"",L33/E33)</x:f>
      </x:c>
      <x:c r="L33" s="16" t="str">
        <x:f>IF(D33="","",E33*F33*H33+I33+J33)</x:f>
      </x:c>
    </x:row>
    <x:row r="34" ht="23" customHeight="1">
      <x:c r="A34" s="54"/>
      <x:c r="B34" s="51"/>
      <x:c r="C34" s="51"/>
      <x:c r="D34" s="51"/>
      <x:c r="E34" s="51"/>
      <x:c r="F34" s="51"/>
      <x:c r="G34" s="51"/>
      <x:c r="H34" s="51"/>
      <x:c r="I34" s="55"/>
      <x:c r="J34" s="55"/>
      <x:c r="K34" s="16" t="str">
        <x:f>IF(OR(D34="",E34=0),"",L34/E34)</x:f>
      </x:c>
      <x:c r="L34" s="16" t="str">
        <x:f>IF(D34="","",E34*F34*H34+I34+J34)</x:f>
      </x:c>
    </x:row>
    <x:row r="35" ht="23" customHeight="1">
      <x:c r="A35" s="54"/>
      <x:c r="B35" s="51"/>
      <x:c r="C35" s="51"/>
      <x:c r="D35" s="51"/>
      <x:c r="E35" s="51"/>
      <x:c r="F35" s="51"/>
      <x:c r="G35" s="51"/>
      <x:c r="H35" s="51"/>
      <x:c r="I35" s="55"/>
      <x:c r="J35" s="55"/>
      <x:c r="K35" s="16" t="str">
        <x:f>IF(OR(D35="",E35=0),"",L35/E35)</x:f>
      </x:c>
      <x:c r="L35" s="16" t="str">
        <x:f>IF(D35="","",E35*F35*H35+I35+J35)</x:f>
      </x:c>
    </x:row>
    <x:row r="36" ht="23" customHeight="1">
      <x:c r="A36" s="54"/>
      <x:c r="B36" s="51"/>
      <x:c r="C36" s="51"/>
      <x:c r="D36" s="51"/>
      <x:c r="E36" s="51"/>
      <x:c r="F36" s="51"/>
      <x:c r="G36" s="51"/>
      <x:c r="H36" s="51"/>
      <x:c r="I36" s="55"/>
      <x:c r="J36" s="55"/>
      <x:c r="K36" s="16" t="str">
        <x:f>IF(OR(D36="",E36=0),"",L36/E36)</x:f>
      </x:c>
      <x:c r="L36" s="16" t="str">
        <x:f>IF(D36="","",E36*F36*H36+I36+J36)</x:f>
      </x:c>
    </x:row>
    <x:row r="37" ht="23" customHeight="1">
      <x:c r="A37" s="54"/>
      <x:c r="B37" s="51"/>
      <x:c r="C37" s="51"/>
      <x:c r="D37" s="51"/>
      <x:c r="E37" s="51"/>
      <x:c r="F37" s="51"/>
      <x:c r="G37" s="51"/>
      <x:c r="H37" s="51"/>
      <x:c r="I37" s="55"/>
      <x:c r="J37" s="55"/>
      <x:c r="K37" s="16" t="str">
        <x:f>IF(OR(D37="",E37=0),"",L37/E37)</x:f>
      </x:c>
      <x:c r="L37" s="16" t="str">
        <x:f>IF(D37="","",E37*F37*H37+I37+J37)</x:f>
      </x:c>
    </x:row>
    <x:row r="38" ht="23" customHeight="1">
      <x:c r="A38" s="54"/>
      <x:c r="B38" s="51"/>
      <x:c r="C38" s="51"/>
      <x:c r="D38" s="51"/>
      <x:c r="E38" s="51"/>
      <x:c r="F38" s="51"/>
      <x:c r="G38" s="51"/>
      <x:c r="H38" s="51"/>
      <x:c r="I38" s="55"/>
      <x:c r="J38" s="55"/>
      <x:c r="K38" s="16" t="str">
        <x:f>IF(OR(D38="",E38=0),"",L38/E38)</x:f>
      </x:c>
      <x:c r="L38" s="16" t="str">
        <x:f>IF(D38="","",E38*F38*H38+I38+J38)</x:f>
      </x:c>
    </x:row>
    <x:row r="39" ht="23" customHeight="1">
      <x:c r="A39" s="54"/>
      <x:c r="B39" s="51"/>
      <x:c r="C39" s="51"/>
      <x:c r="D39" s="51"/>
      <x:c r="E39" s="51"/>
      <x:c r="F39" s="51"/>
      <x:c r="G39" s="51"/>
      <x:c r="H39" s="51"/>
      <x:c r="I39" s="55"/>
      <x:c r="J39" s="55"/>
      <x:c r="K39" s="16" t="str">
        <x:f>IF(OR(D39="",E39=0),"",L39/E39)</x:f>
      </x:c>
      <x:c r="L39" s="16" t="str">
        <x:f>IF(D39="","",E39*F39*H39+I39+J39)</x:f>
      </x:c>
    </x:row>
    <x:row r="40" ht="23" customHeight="1">
      <x:c r="A40" s="54"/>
      <x:c r="B40" s="51"/>
      <x:c r="C40" s="51"/>
      <x:c r="D40" s="51"/>
      <x:c r="E40" s="51"/>
      <x:c r="F40" s="51"/>
      <x:c r="G40" s="51"/>
      <x:c r="H40" s="51"/>
      <x:c r="I40" s="55"/>
      <x:c r="J40" s="55"/>
      <x:c r="K40" s="16" t="str">
        <x:f>IF(OR(D40="",E40=0),"",L40/E40)</x:f>
      </x:c>
      <x:c r="L40" s="16" t="str">
        <x:f>IF(D40="","",E40*F40*H40+I40+J40)</x:f>
      </x:c>
    </x:row>
    <x:row r="41" ht="23" customHeight="1">
      <x:c r="A41" s="54"/>
      <x:c r="B41" s="51"/>
      <x:c r="C41" s="51"/>
      <x:c r="D41" s="51"/>
      <x:c r="E41" s="51"/>
      <x:c r="F41" s="51"/>
      <x:c r="G41" s="51"/>
      <x:c r="H41" s="51"/>
      <x:c r="I41" s="55"/>
      <x:c r="J41" s="55"/>
      <x:c r="K41" s="16" t="str">
        <x:f>IF(OR(D41="",E41=0),"",L41/E41)</x:f>
      </x:c>
      <x:c r="L41" s="16" t="str">
        <x:f>IF(D41="","",E41*F41*H41+I41+J41)</x:f>
      </x:c>
    </x:row>
    <x:row r="42" ht="23" customHeight="1">
      <x:c r="A42" s="54"/>
      <x:c r="B42" s="51"/>
      <x:c r="C42" s="51"/>
      <x:c r="D42" s="51"/>
      <x:c r="E42" s="51"/>
      <x:c r="F42" s="51"/>
      <x:c r="G42" s="51"/>
      <x:c r="H42" s="51"/>
      <x:c r="I42" s="55"/>
      <x:c r="J42" s="55"/>
      <x:c r="K42" s="16" t="str">
        <x:f>IF(OR(D42="",E42=0),"",L42/E42)</x:f>
      </x:c>
      <x:c r="L42" s="16" t="str">
        <x:f>IF(D42="","",E42*F42*H42+I42+J42)</x:f>
      </x:c>
    </x:row>
    <x:row r="43" ht="23" customHeight="1">
      <x:c r="A43" s="54"/>
      <x:c r="B43" s="51"/>
      <x:c r="C43" s="51"/>
      <x:c r="D43" s="51"/>
      <x:c r="E43" s="51"/>
      <x:c r="F43" s="51"/>
      <x:c r="G43" s="51"/>
      <x:c r="H43" s="51"/>
      <x:c r="I43" s="55"/>
      <x:c r="J43" s="55"/>
      <x:c r="K43" s="16" t="str">
        <x:f>IF(OR(D43="",E43=0),"",L43/E43)</x:f>
      </x:c>
      <x:c r="L43" s="16" t="str">
        <x:f>IF(D43="","",E43*F43*H43+I43+J43)</x:f>
      </x:c>
    </x:row>
    <x:row r="44" ht="23" customHeight="1">
      <x:c r="A44" s="54"/>
      <x:c r="B44" s="51"/>
      <x:c r="C44" s="51"/>
      <x:c r="D44" s="51"/>
      <x:c r="E44" s="51"/>
      <x:c r="F44" s="51"/>
      <x:c r="G44" s="51"/>
      <x:c r="H44" s="51"/>
      <x:c r="I44" s="55"/>
      <x:c r="J44" s="55"/>
      <x:c r="K44" s="16" t="str">
        <x:f>IF(OR(D44="",E44=0),"",L44/E44)</x:f>
      </x:c>
      <x:c r="L44" s="16" t="str">
        <x:f>IF(D44="","",E44*F44*H44+I44+J44)</x:f>
      </x:c>
    </x:row>
    <x:row r="45" ht="23" customHeight="1">
      <x:c r="A45" s="54"/>
      <x:c r="B45" s="51"/>
      <x:c r="C45" s="51"/>
      <x:c r="D45" s="51"/>
      <x:c r="E45" s="51"/>
      <x:c r="F45" s="51"/>
      <x:c r="G45" s="51"/>
      <x:c r="H45" s="51"/>
      <x:c r="I45" s="55"/>
      <x:c r="J45" s="55"/>
      <x:c r="K45" s="16" t="str">
        <x:f>IF(OR(D45="",E45=0),"",L45/E45)</x:f>
      </x:c>
      <x:c r="L45" s="16" t="str">
        <x:f>IF(D45="","",E45*F45*H45+I45+J45)</x:f>
      </x:c>
    </x:row>
    <x:row r="46" ht="23" customHeight="1">
      <x:c r="A46" s="54"/>
      <x:c r="B46" s="51"/>
      <x:c r="C46" s="51"/>
      <x:c r="D46" s="51"/>
      <x:c r="E46" s="51"/>
      <x:c r="F46" s="51"/>
      <x:c r="G46" s="51"/>
      <x:c r="H46" s="51"/>
      <x:c r="I46" s="55"/>
      <x:c r="J46" s="55"/>
      <x:c r="K46" s="16" t="str">
        <x:f>IF(OR(D46="",E46=0),"",L46/E46)</x:f>
      </x:c>
      <x:c r="L46" s="16" t="str">
        <x:f>IF(D46="","",E46*F46*H46+I46+J46)</x:f>
      </x:c>
    </x:row>
    <x:row r="47" ht="23" customHeight="1">
      <x:c r="A47" s="54"/>
      <x:c r="B47" s="51"/>
      <x:c r="C47" s="51"/>
      <x:c r="D47" s="51"/>
      <x:c r="E47" s="51"/>
      <x:c r="F47" s="51"/>
      <x:c r="G47" s="51"/>
      <x:c r="H47" s="51"/>
      <x:c r="I47" s="55"/>
      <x:c r="J47" s="55"/>
      <x:c r="K47" s="16" t="str">
        <x:f>IF(OR(D47="",E47=0),"",L47/E47)</x:f>
      </x:c>
      <x:c r="L47" s="16" t="str">
        <x:f>IF(D47="","",E47*F47*H47+I47+J47)</x:f>
      </x:c>
    </x:row>
    <x:row r="48" ht="23" customHeight="1">
      <x:c r="A48" s="54"/>
      <x:c r="B48" s="51"/>
      <x:c r="C48" s="51"/>
      <x:c r="D48" s="51"/>
      <x:c r="E48" s="51"/>
      <x:c r="F48" s="51"/>
      <x:c r="G48" s="51"/>
      <x:c r="H48" s="51"/>
      <x:c r="I48" s="55"/>
      <x:c r="J48" s="55"/>
      <x:c r="K48" s="16" t="str">
        <x:f>IF(OR(D48="",E48=0),"",L48/E48)</x:f>
      </x:c>
      <x:c r="L48" s="16" t="str">
        <x:f>IF(D48="","",E48*F48*H48+I48+J48)</x:f>
      </x:c>
    </x:row>
    <x:row r="49" ht="23" customHeight="1">
      <x:c r="A49" s="54"/>
      <x:c r="B49" s="51"/>
      <x:c r="C49" s="51"/>
      <x:c r="D49" s="51"/>
      <x:c r="E49" s="51"/>
      <x:c r="F49" s="51"/>
      <x:c r="G49" s="51"/>
      <x:c r="H49" s="51"/>
      <x:c r="I49" s="55"/>
      <x:c r="J49" s="55"/>
      <x:c r="K49" s="16" t="str">
        <x:f>IF(OR(D49="",E49=0),"",L49/E49)</x:f>
      </x:c>
      <x:c r="L49" s="16" t="str">
        <x:f>IF(D49="","",E49*F49*H49+I49+J49)</x:f>
      </x:c>
    </x:row>
    <x:row r="50" ht="23" customHeight="1">
      <x:c r="A50" s="54"/>
      <x:c r="B50" s="51"/>
      <x:c r="C50" s="51"/>
      <x:c r="D50" s="51"/>
      <x:c r="E50" s="51"/>
      <x:c r="F50" s="51"/>
      <x:c r="G50" s="51"/>
      <x:c r="H50" s="51"/>
      <x:c r="I50" s="55"/>
      <x:c r="J50" s="55"/>
      <x:c r="K50" s="16" t="str">
        <x:f>IF(OR(D50="",E50=0),"",L50/E50)</x:f>
      </x:c>
      <x:c r="L50" s="16" t="str">
        <x:f>IF(D50="","",E50*F50*H50+I50+J50)</x:f>
      </x:c>
    </x:row>
    <x:row r="51" ht="23" customHeight="1">
      <x:c r="A51" s="54"/>
      <x:c r="B51" s="51"/>
      <x:c r="C51" s="51"/>
      <x:c r="D51" s="51"/>
      <x:c r="E51" s="51"/>
      <x:c r="F51" s="51"/>
      <x:c r="G51" s="51"/>
      <x:c r="H51" s="51"/>
      <x:c r="I51" s="55"/>
      <x:c r="J51" s="55"/>
      <x:c r="K51" s="16" t="str">
        <x:f>IF(OR(D51="",E51=0),"",L51/E51)</x:f>
      </x:c>
      <x:c r="L51" s="16" t="str">
        <x:f>IF(D51="","",E51*F51*H51+I51+J51)</x:f>
      </x:c>
    </x:row>
    <x:row r="52" ht="23" customHeight="1">
      <x:c r="A52" s="54"/>
      <x:c r="B52" s="51"/>
      <x:c r="C52" s="51"/>
      <x:c r="D52" s="51"/>
      <x:c r="E52" s="51"/>
      <x:c r="F52" s="51"/>
      <x:c r="G52" s="51"/>
      <x:c r="H52" s="51"/>
      <x:c r="I52" s="55"/>
      <x:c r="J52" s="55"/>
      <x:c r="K52" s="16" t="str">
        <x:f>IF(OR(D52="",E52=0),"",L52/E52)</x:f>
      </x:c>
      <x:c r="L52" s="16" t="str">
        <x:f>IF(D52="","",E52*F52*H52+I52+J52)</x:f>
      </x:c>
    </x:row>
    <x:row r="53" ht="23" customHeight="1">
      <x:c r="A53" s="54"/>
      <x:c r="B53" s="51"/>
      <x:c r="C53" s="51"/>
      <x:c r="D53" s="51"/>
      <x:c r="E53" s="51"/>
      <x:c r="F53" s="51"/>
      <x:c r="G53" s="51"/>
      <x:c r="H53" s="51"/>
      <x:c r="I53" s="55"/>
      <x:c r="J53" s="55"/>
      <x:c r="K53" s="16" t="str">
        <x:f>IF(OR(D53="",E53=0),"",L53/E53)</x:f>
      </x:c>
      <x:c r="L53" s="16" t="str">
        <x:f>IF(D53="","",E53*F53*H53+I53+J53)</x:f>
      </x:c>
    </x:row>
    <x:row r="54" ht="23" customHeight="1">
      <x:c r="A54" s="54"/>
      <x:c r="B54" s="51"/>
      <x:c r="C54" s="51"/>
      <x:c r="D54" s="51"/>
      <x:c r="E54" s="51"/>
      <x:c r="F54" s="51"/>
      <x:c r="G54" s="51"/>
      <x:c r="H54" s="51"/>
      <x:c r="I54" s="55"/>
      <x:c r="J54" s="55"/>
      <x:c r="K54" s="16" t="str">
        <x:f>IF(OR(D54="",E54=0),"",L54/E54)</x:f>
      </x:c>
      <x:c r="L54" s="16" t="str">
        <x:f>IF(D54="","",E54*F54*H54+I54+J54)</x:f>
      </x:c>
    </x:row>
    <x:row r="55" ht="23" customHeight="1">
      <x:c r="A55" s="54"/>
      <x:c r="B55" s="51"/>
      <x:c r="C55" s="51"/>
      <x:c r="D55" s="51"/>
      <x:c r="E55" s="51"/>
      <x:c r="F55" s="51"/>
      <x:c r="G55" s="51"/>
      <x:c r="H55" s="51"/>
      <x:c r="I55" s="55"/>
      <x:c r="J55" s="55"/>
      <x:c r="K55" s="16" t="str">
        <x:f>IF(OR(D55="",E55=0),"",L55/E55)</x:f>
      </x:c>
      <x:c r="L55" s="16" t="str">
        <x:f>IF(D55="","",E55*F55*H55+I55+J55)</x:f>
      </x:c>
    </x:row>
    <x:row r="56" ht="23" customHeight="1">
      <x:c r="A56" s="54"/>
      <x:c r="B56" s="51"/>
      <x:c r="C56" s="51"/>
      <x:c r="D56" s="51"/>
      <x:c r="E56" s="51"/>
      <x:c r="F56" s="51"/>
      <x:c r="G56" s="51"/>
      <x:c r="H56" s="51"/>
      <x:c r="I56" s="55"/>
      <x:c r="J56" s="55"/>
      <x:c r="K56" s="16" t="str">
        <x:f>IF(OR(D56="",E56=0),"",L56/E56)</x:f>
      </x:c>
      <x:c r="L56" s="16" t="str">
        <x:f>IF(D56="","",E56*F56*H56+I56+J56)</x:f>
      </x:c>
    </x:row>
    <x:row r="57" ht="23" customHeight="1">
      <x:c r="A57" s="54"/>
      <x:c r="B57" s="51"/>
      <x:c r="C57" s="51"/>
      <x:c r="D57" s="51"/>
      <x:c r="E57" s="51"/>
      <x:c r="F57" s="51"/>
      <x:c r="G57" s="51"/>
      <x:c r="H57" s="51"/>
      <x:c r="I57" s="55"/>
      <x:c r="J57" s="55"/>
      <x:c r="K57" s="16" t="str">
        <x:f>IF(OR(D57="",E57=0),"",L57/E57)</x:f>
      </x:c>
      <x:c r="L57" s="16" t="str">
        <x:f>IF(D57="","",E57*F57*H57+I57+J57)</x:f>
      </x:c>
    </x:row>
    <x:row r="58" ht="23" customHeight="1">
      <x:c r="A58" s="54"/>
      <x:c r="B58" s="51"/>
      <x:c r="C58" s="51"/>
      <x:c r="D58" s="51"/>
      <x:c r="E58" s="51"/>
      <x:c r="F58" s="51"/>
      <x:c r="G58" s="51"/>
      <x:c r="H58" s="51"/>
      <x:c r="I58" s="55"/>
      <x:c r="J58" s="55"/>
      <x:c r="K58" s="16" t="str">
        <x:f>IF(OR(D58="",E58=0),"",L58/E58)</x:f>
      </x:c>
      <x:c r="L58" s="16" t="str">
        <x:f>IF(D58="","",E58*F58*H58+I58+J58)</x:f>
      </x:c>
    </x:row>
    <x:row r="59" ht="23" customHeight="1">
      <x:c r="A59" s="54"/>
      <x:c r="B59" s="51"/>
      <x:c r="C59" s="51"/>
      <x:c r="D59" s="51"/>
      <x:c r="E59" s="51"/>
      <x:c r="F59" s="51"/>
      <x:c r="G59" s="51"/>
      <x:c r="H59" s="51"/>
      <x:c r="I59" s="55"/>
      <x:c r="J59" s="55"/>
      <x:c r="K59" s="16" t="str">
        <x:f>IF(OR(D59="",E59=0),"",L59/E59)</x:f>
      </x:c>
      <x:c r="L59" s="16" t="str">
        <x:f>IF(D59="","",E59*F59*H59+I59+J59)</x:f>
      </x:c>
    </x:row>
    <x:row r="60" ht="23" customHeight="1">
      <x:c r="A60" s="54"/>
      <x:c r="B60" s="51"/>
      <x:c r="C60" s="51"/>
      <x:c r="D60" s="51"/>
      <x:c r="E60" s="51"/>
      <x:c r="F60" s="51"/>
      <x:c r="G60" s="51"/>
      <x:c r="H60" s="51"/>
      <x:c r="I60" s="55"/>
      <x:c r="J60" s="55"/>
      <x:c r="K60" s="16" t="str">
        <x:f>IF(OR(D60="",E60=0),"",L60/E60)</x:f>
      </x:c>
      <x:c r="L60" s="16" t="str">
        <x:f>IF(D60="","",E60*F60*H60+I60+J60)</x:f>
      </x:c>
    </x:row>
    <x:row r="61" ht="23" customHeight="1">
      <x:c r="A61" s="54"/>
      <x:c r="B61" s="51"/>
      <x:c r="C61" s="51"/>
      <x:c r="D61" s="51"/>
      <x:c r="E61" s="51"/>
      <x:c r="F61" s="51"/>
      <x:c r="G61" s="51"/>
      <x:c r="H61" s="51"/>
      <x:c r="I61" s="55"/>
      <x:c r="J61" s="55"/>
      <x:c r="K61" s="16" t="str">
        <x:f>IF(OR(D61="",E61=0),"",L61/E61)</x:f>
      </x:c>
      <x:c r="L61" s="16" t="str">
        <x:f>IF(D61="","",E61*F61*H61+I61+J61)</x:f>
      </x:c>
    </x:row>
    <x:row r="62" ht="23" customHeight="1">
      <x:c r="A62" s="54"/>
      <x:c r="B62" s="51"/>
      <x:c r="C62" s="51"/>
      <x:c r="D62" s="51"/>
      <x:c r="E62" s="51"/>
      <x:c r="F62" s="51"/>
      <x:c r="G62" s="51"/>
      <x:c r="H62" s="51"/>
      <x:c r="I62" s="55"/>
      <x:c r="J62" s="55"/>
      <x:c r="K62" s="16" t="str">
        <x:f>IF(OR(D62="",E62=0),"",L62/E62)</x:f>
      </x:c>
      <x:c r="L62" s="16" t="str">
        <x:f>IF(D62="","",E62*F62*H62+I62+J62)</x:f>
      </x:c>
    </x:row>
    <x:row r="63" ht="23" customHeight="1">
      <x:c r="A63" s="54"/>
      <x:c r="B63" s="51"/>
      <x:c r="C63" s="51"/>
      <x:c r="D63" s="51"/>
      <x:c r="E63" s="51"/>
      <x:c r="F63" s="51"/>
      <x:c r="G63" s="51"/>
      <x:c r="H63" s="51"/>
      <x:c r="I63" s="55"/>
      <x:c r="J63" s="55"/>
      <x:c r="K63" s="16" t="str">
        <x:f>IF(OR(D63="",E63=0),"",L63/E63)</x:f>
      </x:c>
      <x:c r="L63" s="16" t="str">
        <x:f>IF(D63="","",E63*F63*H63+I63+J63)</x:f>
      </x:c>
    </x:row>
    <x:row r="64" ht="23" customHeight="1">
      <x:c r="A64" s="54"/>
      <x:c r="B64" s="51"/>
      <x:c r="C64" s="51"/>
      <x:c r="D64" s="51"/>
      <x:c r="E64" s="51"/>
      <x:c r="F64" s="51"/>
      <x:c r="G64" s="51"/>
      <x:c r="H64" s="51"/>
      <x:c r="I64" s="55"/>
      <x:c r="J64" s="55"/>
      <x:c r="K64" s="16" t="str">
        <x:f>IF(OR(D64="",E64=0),"",L64/E64)</x:f>
      </x:c>
      <x:c r="L64" s="16" t="str">
        <x:f>IF(D64="","",E64*F64*H64+I64+J64)</x:f>
      </x:c>
    </x:row>
    <x:row r="65" ht="23" customHeight="1">
      <x:c r="A65" s="54"/>
      <x:c r="B65" s="51"/>
      <x:c r="C65" s="51"/>
      <x:c r="D65" s="51"/>
      <x:c r="E65" s="51"/>
      <x:c r="F65" s="51"/>
      <x:c r="G65" s="51"/>
      <x:c r="H65" s="51"/>
      <x:c r="I65" s="55"/>
      <x:c r="J65" s="55"/>
      <x:c r="K65" s="16" t="str">
        <x:f>IF(OR(D65="",E65=0),"",L65/E65)</x:f>
      </x:c>
      <x:c r="L65" s="16" t="str">
        <x:f>IF(D65="","",E65*F65*H65+I65+J65)</x:f>
      </x:c>
    </x:row>
    <x:row r="66" ht="23" customHeight="1">
      <x:c r="A66" s="54"/>
      <x:c r="B66" s="51"/>
      <x:c r="C66" s="51"/>
      <x:c r="D66" s="51"/>
      <x:c r="E66" s="51"/>
      <x:c r="F66" s="51"/>
      <x:c r="G66" s="51"/>
      <x:c r="H66" s="51"/>
      <x:c r="I66" s="55"/>
      <x:c r="J66" s="55"/>
      <x:c r="K66" s="16" t="str">
        <x:f>IF(OR(D66="",E66=0),"",L66/E66)</x:f>
      </x:c>
      <x:c r="L66" s="16" t="str">
        <x:f>IF(D66="","",E66*F66*H66+I66+J66)</x:f>
      </x:c>
    </x:row>
    <x:row r="67" ht="23" customHeight="1">
      <x:c r="A67" s="54"/>
      <x:c r="B67" s="51"/>
      <x:c r="C67" s="51"/>
      <x:c r="D67" s="51"/>
      <x:c r="E67" s="51"/>
      <x:c r="F67" s="51"/>
      <x:c r="G67" s="51"/>
      <x:c r="H67" s="51"/>
      <x:c r="I67" s="55"/>
      <x:c r="J67" s="55"/>
      <x:c r="K67" s="16" t="str">
        <x:f>IF(OR(D67="",E67=0),"",L67/E67)</x:f>
      </x:c>
      <x:c r="L67" s="16" t="str">
        <x:f>IF(D67="","",E67*F67*H67+I67+J67)</x:f>
      </x:c>
    </x:row>
    <x:row r="68" ht="23" customHeight="1">
      <x:c r="A68" s="54"/>
      <x:c r="B68" s="51"/>
      <x:c r="C68" s="51"/>
      <x:c r="D68" s="51"/>
      <x:c r="E68" s="51"/>
      <x:c r="F68" s="51"/>
      <x:c r="G68" s="51"/>
      <x:c r="H68" s="51"/>
      <x:c r="I68" s="55"/>
      <x:c r="J68" s="55"/>
      <x:c r="K68" s="16" t="str">
        <x:f>IF(OR(D68="",E68=0),"",L68/E68)</x:f>
      </x:c>
      <x:c r="L68" s="16" t="str">
        <x:f>IF(D68="","",E68*F68*H68+I68+J68)</x:f>
      </x:c>
    </x:row>
    <x:row r="69" ht="23" customHeight="1">
      <x:c r="A69" s="54"/>
      <x:c r="B69" s="51"/>
      <x:c r="C69" s="51"/>
      <x:c r="D69" s="51"/>
      <x:c r="E69" s="51"/>
      <x:c r="F69" s="51"/>
      <x:c r="G69" s="51"/>
      <x:c r="H69" s="51"/>
      <x:c r="I69" s="55"/>
      <x:c r="J69" s="55"/>
      <x:c r="K69" s="16" t="str">
        <x:f>IF(OR(D69="",E69=0),"",L69/E69)</x:f>
      </x:c>
      <x:c r="L69" s="16" t="str">
        <x:f>IF(D69="","",E69*F69*H69+I69+J69)</x:f>
      </x:c>
    </x:row>
    <x:row r="70" ht="23" customHeight="1">
      <x:c r="A70" s="54"/>
      <x:c r="B70" s="51"/>
      <x:c r="C70" s="51"/>
      <x:c r="D70" s="51"/>
      <x:c r="E70" s="51"/>
      <x:c r="F70" s="51"/>
      <x:c r="G70" s="51"/>
      <x:c r="H70" s="51"/>
      <x:c r="I70" s="55"/>
      <x:c r="J70" s="55"/>
      <x:c r="K70" s="16" t="str">
        <x:f>IF(OR(D70="",E70=0),"",L70/E70)</x:f>
      </x:c>
      <x:c r="L70" s="16" t="str">
        <x:f>IF(D70="","",E70*F70*H70+I70+J70)</x:f>
      </x:c>
    </x:row>
    <x:row r="71" ht="23" customHeight="1">
      <x:c r="A71" s="54"/>
      <x:c r="B71" s="51"/>
      <x:c r="C71" s="51"/>
      <x:c r="D71" s="51"/>
      <x:c r="E71" s="51"/>
      <x:c r="F71" s="51"/>
      <x:c r="G71" s="51"/>
      <x:c r="H71" s="51"/>
      <x:c r="I71" s="55"/>
      <x:c r="J71" s="55"/>
      <x:c r="K71" s="16" t="str">
        <x:f>IF(OR(D71="",E71=0),"",L71/E71)</x:f>
      </x:c>
      <x:c r="L71" s="16" t="str">
        <x:f>IF(D71="","",E71*F71*H71+I71+J71)</x:f>
      </x:c>
    </x:row>
    <x:row r="72" ht="23" customHeight="1">
      <x:c r="A72" s="54"/>
      <x:c r="B72" s="51"/>
      <x:c r="C72" s="51"/>
      <x:c r="D72" s="51"/>
      <x:c r="E72" s="51"/>
      <x:c r="F72" s="51"/>
      <x:c r="G72" s="51"/>
      <x:c r="H72" s="51"/>
      <x:c r="I72" s="55"/>
      <x:c r="J72" s="55"/>
      <x:c r="K72" s="16" t="str">
        <x:f>IF(OR(D72="",E72=0),"",L72/E72)</x:f>
      </x:c>
      <x:c r="L72" s="16" t="str">
        <x:f>IF(D72="","",E72*F72*H72+I72+J72)</x:f>
      </x:c>
    </x:row>
    <x:row r="73" ht="23" customHeight="1">
      <x:c r="A73" s="54"/>
      <x:c r="B73" s="51"/>
      <x:c r="C73" s="51"/>
      <x:c r="D73" s="51"/>
      <x:c r="E73" s="51"/>
      <x:c r="F73" s="51"/>
      <x:c r="G73" s="51"/>
      <x:c r="H73" s="51"/>
      <x:c r="I73" s="55"/>
      <x:c r="J73" s="55"/>
      <x:c r="K73" s="16" t="str">
        <x:f>IF(OR(D73="",E73=0),"",L73/E73)</x:f>
      </x:c>
      <x:c r="L73" s="16" t="str">
        <x:f>IF(D73="","",E73*F73*H73+I73+J73)</x:f>
      </x:c>
    </x:row>
    <x:row r="74" ht="23" customHeight="1">
      <x:c r="A74" s="54"/>
      <x:c r="B74" s="51"/>
      <x:c r="C74" s="51"/>
      <x:c r="D74" s="51"/>
      <x:c r="E74" s="51"/>
      <x:c r="F74" s="51"/>
      <x:c r="G74" s="51"/>
      <x:c r="H74" s="51"/>
      <x:c r="I74" s="55"/>
      <x:c r="J74" s="55"/>
      <x:c r="K74" s="16" t="str">
        <x:f>IF(OR(D74="",E74=0),"",L74/E74)</x:f>
      </x:c>
      <x:c r="L74" s="16" t="str">
        <x:f>IF(D74="","",E74*F74*H74+I74+J74)</x:f>
      </x:c>
    </x:row>
    <x:row r="75" ht="23" customHeight="1">
      <x:c r="A75" s="54"/>
      <x:c r="B75" s="51"/>
      <x:c r="C75" s="51"/>
      <x:c r="D75" s="51"/>
      <x:c r="E75" s="51"/>
      <x:c r="F75" s="51"/>
      <x:c r="G75" s="51"/>
      <x:c r="H75" s="51"/>
      <x:c r="I75" s="55"/>
      <x:c r="J75" s="55"/>
      <x:c r="K75" s="16" t="str">
        <x:f>IF(OR(D75="",E75=0),"",L75/E75)</x:f>
      </x:c>
      <x:c r="L75" s="16" t="str">
        <x:f>IF(D75="","",E75*F75*H75+I75+J75)</x:f>
      </x:c>
    </x:row>
    <x:row r="76" ht="23" customHeight="1">
      <x:c r="A76" s="54"/>
      <x:c r="B76" s="51"/>
      <x:c r="C76" s="51"/>
      <x:c r="D76" s="51"/>
      <x:c r="E76" s="51"/>
      <x:c r="F76" s="51"/>
      <x:c r="G76" s="51"/>
      <x:c r="H76" s="51"/>
      <x:c r="I76" s="55"/>
      <x:c r="J76" s="55"/>
      <x:c r="K76" s="16" t="str">
        <x:f>IF(OR(D76="",E76=0),"",L76/E76)</x:f>
      </x:c>
      <x:c r="L76" s="16" t="str">
        <x:f>IF(D76="","",E76*F76*H76+I76+J76)</x:f>
      </x:c>
    </x:row>
    <x:row r="77" ht="23" customHeight="1">
      <x:c r="A77" s="54"/>
      <x:c r="B77" s="51"/>
      <x:c r="C77" s="51"/>
      <x:c r="D77" s="51"/>
      <x:c r="E77" s="51"/>
      <x:c r="F77" s="51"/>
      <x:c r="G77" s="51"/>
      <x:c r="H77" s="51"/>
      <x:c r="I77" s="55"/>
      <x:c r="J77" s="55"/>
      <x:c r="K77" s="16" t="str">
        <x:f>IF(OR(D77="",E77=0),"",L77/E77)</x:f>
      </x:c>
      <x:c r="L77" s="16" t="str">
        <x:f>IF(D77="","",E77*F77*H77+I77+J77)</x:f>
      </x:c>
    </x:row>
    <x:row r="78" ht="23" customHeight="1">
      <x:c r="A78" s="54"/>
      <x:c r="B78" s="51"/>
      <x:c r="C78" s="51"/>
      <x:c r="D78" s="51"/>
      <x:c r="E78" s="51"/>
      <x:c r="F78" s="51"/>
      <x:c r="G78" s="51"/>
      <x:c r="H78" s="51"/>
      <x:c r="I78" s="55"/>
      <x:c r="J78" s="55"/>
      <x:c r="K78" s="16" t="str">
        <x:f>IF(OR(D78="",E78=0),"",L78/E78)</x:f>
      </x:c>
      <x:c r="L78" s="16" t="str">
        <x:f>IF(D78="","",E78*F78*H78+I78+J78)</x:f>
      </x:c>
    </x:row>
    <x:row r="79" ht="23" customHeight="1">
      <x:c r="A79" s="54"/>
      <x:c r="B79" s="51"/>
      <x:c r="C79" s="51"/>
      <x:c r="D79" s="51"/>
      <x:c r="E79" s="51"/>
      <x:c r="F79" s="51"/>
      <x:c r="G79" s="51"/>
      <x:c r="H79" s="51"/>
      <x:c r="I79" s="55"/>
      <x:c r="J79" s="55"/>
      <x:c r="K79" s="16" t="str">
        <x:f>IF(OR(D79="",E79=0),"",L79/E79)</x:f>
      </x:c>
      <x:c r="L79" s="16" t="str">
        <x:f>IF(D79="","",E79*F79*H79+I79+J79)</x:f>
      </x:c>
    </x:row>
    <x:row r="80" ht="23" customHeight="1">
      <x:c r="A80" s="54"/>
      <x:c r="B80" s="51"/>
      <x:c r="C80" s="51"/>
      <x:c r="D80" s="51"/>
      <x:c r="E80" s="51"/>
      <x:c r="F80" s="51"/>
      <x:c r="G80" s="51"/>
      <x:c r="H80" s="51"/>
      <x:c r="I80" s="55"/>
      <x:c r="J80" s="55"/>
      <x:c r="K80" s="16" t="str">
        <x:f>IF(OR(D80="",E80=0),"",L80/E80)</x:f>
      </x:c>
      <x:c r="L80" s="16" t="str">
        <x:f>IF(D80="","",E80*F80*H80+I80+J80)</x:f>
      </x:c>
    </x:row>
    <x:row r="81" ht="23" customHeight="1">
      <x:c r="A81" s="54"/>
      <x:c r="B81" s="51"/>
      <x:c r="C81" s="51"/>
      <x:c r="D81" s="51"/>
      <x:c r="E81" s="51"/>
      <x:c r="F81" s="51"/>
      <x:c r="G81" s="51"/>
      <x:c r="H81" s="51"/>
      <x:c r="I81" s="55"/>
      <x:c r="J81" s="55"/>
      <x:c r="K81" s="16" t="str">
        <x:f>IF(OR(D81="",E81=0),"",L81/E81)</x:f>
      </x:c>
      <x:c r="L81" s="16" t="str">
        <x:f>IF(D81="","",E81*F81*H81+I81+J81)</x:f>
      </x:c>
    </x:row>
    <x:row r="82" ht="23" customHeight="1">
      <x:c r="A82" s="54"/>
      <x:c r="B82" s="51"/>
      <x:c r="C82" s="51"/>
      <x:c r="D82" s="51"/>
      <x:c r="E82" s="51"/>
      <x:c r="F82" s="51"/>
      <x:c r="G82" s="51"/>
      <x:c r="H82" s="51"/>
      <x:c r="I82" s="55"/>
      <x:c r="J82" s="55"/>
      <x:c r="K82" s="16" t="str">
        <x:f>IF(OR(D82="",E82=0),"",L82/E82)</x:f>
      </x:c>
      <x:c r="L82" s="16" t="str">
        <x:f>IF(D82="","",E82*F82*H82+I82+J82)</x:f>
      </x:c>
    </x:row>
    <x:row r="83" ht="23" customHeight="1">
      <x:c r="A83" s="54"/>
      <x:c r="B83" s="51"/>
      <x:c r="C83" s="51"/>
      <x:c r="D83" s="51"/>
      <x:c r="E83" s="51"/>
      <x:c r="F83" s="51"/>
      <x:c r="G83" s="51"/>
      <x:c r="H83" s="51"/>
      <x:c r="I83" s="55"/>
      <x:c r="J83" s="55"/>
      <x:c r="K83" s="16" t="str">
        <x:f>IF(OR(D83="",E83=0),"",L83/E83)</x:f>
      </x:c>
      <x:c r="L83" s="16" t="str">
        <x:f>IF(D83="","",E83*F83*H83+I83+J83)</x:f>
      </x:c>
    </x:row>
    <x:row r="84" ht="23" customHeight="1">
      <x:c r="A84" s="54"/>
      <x:c r="B84" s="51"/>
      <x:c r="C84" s="51"/>
      <x:c r="D84" s="51"/>
      <x:c r="E84" s="51"/>
      <x:c r="F84" s="51"/>
      <x:c r="G84" s="51"/>
      <x:c r="H84" s="51"/>
      <x:c r="I84" s="55"/>
      <x:c r="J84" s="55"/>
      <x:c r="K84" s="16" t="str">
        <x:f>IF(OR(D84="",E84=0),"",L84/E84)</x:f>
      </x:c>
      <x:c r="L84" s="16" t="str">
        <x:f>IF(D84="","",E84*F84*H84+I84+J84)</x:f>
      </x:c>
    </x:row>
    <x:row r="85" ht="23" customHeight="1">
      <x:c r="A85" s="54"/>
      <x:c r="B85" s="51"/>
      <x:c r="C85" s="51"/>
      <x:c r="D85" s="51"/>
      <x:c r="E85" s="51"/>
      <x:c r="F85" s="51"/>
      <x:c r="G85" s="51"/>
      <x:c r="H85" s="51"/>
      <x:c r="I85" s="55"/>
      <x:c r="J85" s="55"/>
      <x:c r="K85" s="16" t="str">
        <x:f>IF(OR(D85="",E85=0),"",L85/E85)</x:f>
      </x:c>
      <x:c r="L85" s="16" t="str">
        <x:f>IF(D85="","",E85*F85*H85+I85+J85)</x:f>
      </x:c>
    </x:row>
    <x:row r="86" ht="23" customHeight="1">
      <x:c r="A86" s="54"/>
      <x:c r="B86" s="51"/>
      <x:c r="C86" s="51"/>
      <x:c r="D86" s="51"/>
      <x:c r="E86" s="51"/>
      <x:c r="F86" s="51"/>
      <x:c r="G86" s="51"/>
      <x:c r="H86" s="51"/>
      <x:c r="I86" s="55"/>
      <x:c r="J86" s="55"/>
      <x:c r="K86" s="16" t="str">
        <x:f>IF(OR(D86="",E86=0),"",L86/E86)</x:f>
      </x:c>
      <x:c r="L86" s="16" t="str">
        <x:f>IF(D86="","",E86*F86*H86+I86+J86)</x:f>
      </x:c>
    </x:row>
    <x:row r="87" ht="23" customHeight="1">
      <x:c r="A87" s="54"/>
      <x:c r="B87" s="51"/>
      <x:c r="C87" s="51"/>
      <x:c r="D87" s="51"/>
      <x:c r="E87" s="51"/>
      <x:c r="F87" s="51"/>
      <x:c r="G87" s="51"/>
      <x:c r="H87" s="51"/>
      <x:c r="I87" s="55"/>
      <x:c r="J87" s="55"/>
      <x:c r="K87" s="16" t="str">
        <x:f>IF(OR(D87="",E87=0),"",L87/E87)</x:f>
      </x:c>
      <x:c r="L87" s="16" t="str">
        <x:f>IF(D87="","",E87*F87*H87+I87+J87)</x:f>
      </x:c>
    </x:row>
    <x:row r="88" ht="23" customHeight="1">
      <x:c r="A88" s="54"/>
      <x:c r="B88" s="51"/>
      <x:c r="C88" s="51"/>
      <x:c r="D88" s="51"/>
      <x:c r="E88" s="51"/>
      <x:c r="F88" s="51"/>
      <x:c r="G88" s="51"/>
      <x:c r="H88" s="51"/>
      <x:c r="I88" s="55"/>
      <x:c r="J88" s="55"/>
      <x:c r="K88" s="16" t="str">
        <x:f>IF(OR(D88="",E88=0),"",L88/E88)</x:f>
      </x:c>
      <x:c r="L88" s="16" t="str">
        <x:f>IF(D88="","",E88*F88*H88+I88+J88)</x:f>
      </x:c>
    </x:row>
    <x:row r="89" ht="23" customHeight="1">
      <x:c r="A89" s="54"/>
      <x:c r="B89" s="51"/>
      <x:c r="C89" s="51"/>
      <x:c r="D89" s="51"/>
      <x:c r="E89" s="51"/>
      <x:c r="F89" s="51"/>
      <x:c r="G89" s="51"/>
      <x:c r="H89" s="51"/>
      <x:c r="I89" s="55"/>
      <x:c r="J89" s="55"/>
      <x:c r="K89" s="16" t="str">
        <x:f>IF(OR(D89="",E89=0),"",L89/E89)</x:f>
      </x:c>
      <x:c r="L89" s="16" t="str">
        <x:f>IF(D89="","",E89*F89*H89+I89+J89)</x:f>
      </x:c>
    </x:row>
    <x:row r="90" ht="23" customHeight="1">
      <x:c r="A90" s="54"/>
      <x:c r="B90" s="51"/>
      <x:c r="C90" s="51"/>
      <x:c r="D90" s="51"/>
      <x:c r="E90" s="51"/>
      <x:c r="F90" s="51"/>
      <x:c r="G90" s="51"/>
      <x:c r="H90" s="51"/>
      <x:c r="I90" s="55"/>
      <x:c r="J90" s="55"/>
      <x:c r="K90" s="16" t="str">
        <x:f>IF(OR(D90="",E90=0),"",L90/E90)</x:f>
      </x:c>
      <x:c r="L90" s="16" t="str">
        <x:f>IF(D90="","",E90*F90*H90+I90+J90)</x:f>
      </x:c>
    </x:row>
    <x:row r="91" ht="23" customHeight="1">
      <x:c r="A91" s="54"/>
      <x:c r="B91" s="51"/>
      <x:c r="C91" s="51"/>
      <x:c r="D91" s="51"/>
      <x:c r="E91" s="51"/>
      <x:c r="F91" s="51"/>
      <x:c r="G91" s="51"/>
      <x:c r="H91" s="51"/>
      <x:c r="I91" s="55"/>
      <x:c r="J91" s="55"/>
      <x:c r="K91" s="16" t="str">
        <x:f>IF(OR(D91="",E91=0),"",L91/E91)</x:f>
      </x:c>
      <x:c r="L91" s="16" t="str">
        <x:f>IF(D91="","",E91*F91*H91+I91+J91)</x:f>
      </x:c>
    </x:row>
    <x:row r="92" ht="23" customHeight="1">
      <x:c r="A92" s="54"/>
      <x:c r="B92" s="51"/>
      <x:c r="C92" s="51"/>
      <x:c r="D92" s="51"/>
      <x:c r="E92" s="51"/>
      <x:c r="F92" s="51"/>
      <x:c r="G92" s="51"/>
      <x:c r="H92" s="51"/>
      <x:c r="I92" s="55"/>
      <x:c r="J92" s="55"/>
      <x:c r="K92" s="16" t="str">
        <x:f>IF(OR(D92="",E92=0),"",L92/E92)</x:f>
      </x:c>
      <x:c r="L92" s="16" t="str">
        <x:f>IF(D92="","",E92*F92*H92+I92+J92)</x:f>
      </x:c>
    </x:row>
    <x:row r="93" ht="23" customHeight="1">
      <x:c r="A93" s="54"/>
      <x:c r="B93" s="51"/>
      <x:c r="C93" s="51"/>
      <x:c r="D93" s="51"/>
      <x:c r="E93" s="51"/>
      <x:c r="F93" s="51"/>
      <x:c r="G93" s="51"/>
      <x:c r="H93" s="51"/>
      <x:c r="I93" s="55"/>
      <x:c r="J93" s="55"/>
      <x:c r="K93" s="16" t="str">
        <x:f>IF(OR(D93="",E93=0),"",L93/E93)</x:f>
      </x:c>
      <x:c r="L93" s="16" t="str">
        <x:f>IF(D93="","",E93*F93*H93+I93+J93)</x:f>
      </x:c>
    </x:row>
    <x:row r="94" ht="23" customHeight="1">
      <x:c r="A94" s="54"/>
      <x:c r="B94" s="51"/>
      <x:c r="C94" s="51"/>
      <x:c r="D94" s="51"/>
      <x:c r="E94" s="51"/>
      <x:c r="F94" s="51"/>
      <x:c r="G94" s="51"/>
      <x:c r="H94" s="51"/>
      <x:c r="I94" s="55"/>
      <x:c r="J94" s="55"/>
      <x:c r="K94" s="16" t="str">
        <x:f>IF(OR(D94="",E94=0),"",L94/E94)</x:f>
      </x:c>
      <x:c r="L94" s="16" t="str">
        <x:f>IF(D94="","",E94*F94*H94+I94+J94)</x:f>
      </x:c>
    </x:row>
    <x:row r="95" ht="23" customHeight="1">
      <x:c r="A95" s="54"/>
      <x:c r="B95" s="51"/>
      <x:c r="C95" s="51"/>
      <x:c r="D95" s="51"/>
      <x:c r="E95" s="51"/>
      <x:c r="F95" s="51"/>
      <x:c r="G95" s="51"/>
      <x:c r="H95" s="51"/>
      <x:c r="I95" s="55"/>
      <x:c r="J95" s="55"/>
      <x:c r="K95" s="16" t="str">
        <x:f>IF(OR(D95="",E95=0),"",L95/E95)</x:f>
      </x:c>
      <x:c r="L95" s="16" t="str">
        <x:f>IF(D95="","",E95*F95*H95+I95+J95)</x:f>
      </x:c>
    </x:row>
    <x:row r="96" ht="23" customHeight="1">
      <x:c r="A96" s="54"/>
      <x:c r="B96" s="51"/>
      <x:c r="C96" s="51"/>
      <x:c r="D96" s="51"/>
      <x:c r="E96" s="51"/>
      <x:c r="F96" s="51"/>
      <x:c r="G96" s="51"/>
      <x:c r="H96" s="51"/>
      <x:c r="I96" s="55"/>
      <x:c r="J96" s="55"/>
      <x:c r="K96" s="16" t="str">
        <x:f>IF(OR(D96="",E96=0),"",L96/E96)</x:f>
      </x:c>
      <x:c r="L96" s="16" t="str">
        <x:f>IF(D96="","",E96*F96*H96+I96+J96)</x:f>
      </x:c>
    </x:row>
    <x:row r="97" ht="23" customHeight="1">
      <x:c r="A97" s="54"/>
      <x:c r="B97" s="51"/>
      <x:c r="C97" s="51"/>
      <x:c r="D97" s="51"/>
      <x:c r="E97" s="51"/>
      <x:c r="F97" s="51"/>
      <x:c r="G97" s="51"/>
      <x:c r="H97" s="51"/>
      <x:c r="I97" s="55"/>
      <x:c r="J97" s="55"/>
      <x:c r="K97" s="16" t="str">
        <x:f>IF(OR(D97="",E97=0),"",L97/E97)</x:f>
      </x:c>
      <x:c r="L97" s="16" t="str">
        <x:f>IF(D97="","",E97*F97*H97+I97+J97)</x:f>
      </x:c>
    </x:row>
    <x:row r="98" ht="23" customHeight="1">
      <x:c r="A98" s="54"/>
      <x:c r="B98" s="51"/>
      <x:c r="C98" s="51"/>
      <x:c r="D98" s="51"/>
      <x:c r="E98" s="51"/>
      <x:c r="F98" s="51"/>
      <x:c r="G98" s="51"/>
      <x:c r="H98" s="51"/>
      <x:c r="I98" s="55"/>
      <x:c r="J98" s="55"/>
      <x:c r="K98" s="16" t="str">
        <x:f>IF(OR(D98="",E98=0),"",L98/E98)</x:f>
      </x:c>
      <x:c r="L98" s="16" t="str">
        <x:f>IF(D98="","",E98*F98*H98+I98+J98)</x:f>
      </x:c>
    </x:row>
    <x:row r="99" ht="23" customHeight="1">
      <x:c r="A99" s="54"/>
      <x:c r="B99" s="51"/>
      <x:c r="C99" s="51"/>
      <x:c r="D99" s="51"/>
      <x:c r="E99" s="51"/>
      <x:c r="F99" s="51"/>
      <x:c r="G99" s="51"/>
      <x:c r="H99" s="51"/>
      <x:c r="I99" s="55"/>
      <x:c r="J99" s="55"/>
      <x:c r="K99" s="16" t="str">
        <x:f>IF(OR(D99="",E99=0),"",L99/E99)</x:f>
      </x:c>
      <x:c r="L99" s="16" t="str">
        <x:f>IF(D99="","",E99*F99*H99+I99+J99)</x:f>
      </x:c>
    </x:row>
    <x:row r="100" ht="23" customHeight="1">
      <x:c r="A100" s="54"/>
      <x:c r="B100" s="51"/>
      <x:c r="C100" s="51"/>
      <x:c r="D100" s="51"/>
      <x:c r="E100" s="51"/>
      <x:c r="F100" s="51"/>
      <x:c r="G100" s="51"/>
      <x:c r="H100" s="51"/>
      <x:c r="I100" s="55"/>
      <x:c r="J100" s="55"/>
      <x:c r="K100" s="16" t="str">
        <x:f>IF(OR(D100="",E100=0),"",L100/E100)</x:f>
      </x:c>
      <x:c r="L100" s="16" t="str">
        <x:f>IF(D100="","",E100*F100*H100+I100+J100)</x:f>
      </x:c>
    </x:row>
    <x:row r="101" ht="23" customHeight="1">
      <x:c r="A101" s="54"/>
      <x:c r="B101" s="51"/>
      <x:c r="C101" s="51"/>
      <x:c r="D101" s="51"/>
      <x:c r="E101" s="51"/>
      <x:c r="F101" s="51"/>
      <x:c r="G101" s="51"/>
      <x:c r="H101" s="51"/>
      <x:c r="I101" s="55"/>
      <x:c r="J101" s="55"/>
      <x:c r="K101" s="16" t="str">
        <x:f>IF(OR(D101="",E101=0),"",L101/E101)</x:f>
      </x:c>
      <x:c r="L101" s="16" t="str">
        <x:f>IF(D101="","",E101*F101*H101+I101+J101)</x:f>
      </x:c>
    </x:row>
    <x:row r="102" ht="23" customHeight="1">
      <x:c r="A102" s="54"/>
      <x:c r="B102" s="51"/>
      <x:c r="C102" s="51"/>
      <x:c r="D102" s="51"/>
      <x:c r="E102" s="51"/>
      <x:c r="F102" s="51"/>
      <x:c r="G102" s="51"/>
      <x:c r="H102" s="51"/>
      <x:c r="I102" s="55"/>
      <x:c r="J102" s="55"/>
      <x:c r="K102" s="16" t="str">
        <x:f>IF(OR(D102="",E102=0),"",L102/E102)</x:f>
      </x:c>
      <x:c r="L102" s="16" t="str">
        <x:f>IF(D102="","",E102*F102*H102+I102+J102)</x:f>
      </x:c>
    </x:row>
    <x:row r="103" ht="23" customHeight="1">
      <x:c r="A103" s="54"/>
      <x:c r="B103" s="51"/>
      <x:c r="C103" s="51"/>
      <x:c r="D103" s="51"/>
      <x:c r="E103" s="51"/>
      <x:c r="F103" s="51"/>
      <x:c r="G103" s="51"/>
      <x:c r="H103" s="51"/>
      <x:c r="I103" s="55"/>
      <x:c r="J103" s="55"/>
      <x:c r="K103" s="16" t="str">
        <x:f>IF(OR(D103="",E103=0),"",L103/E103)</x:f>
      </x:c>
      <x:c r="L103" s="16" t="str">
        <x:f>IF(D103="","",E103*F103*H103+I103+J103)</x:f>
      </x:c>
    </x:row>
    <x:row r="104" ht="23" customHeight="1">
      <x:c r="A104" s="54"/>
      <x:c r="B104" s="51"/>
      <x:c r="C104" s="51"/>
      <x:c r="D104" s="51"/>
      <x:c r="E104" s="51"/>
      <x:c r="F104" s="51"/>
      <x:c r="G104" s="51"/>
      <x:c r="H104" s="51"/>
      <x:c r="I104" s="55"/>
      <x:c r="J104" s="55"/>
      <x:c r="K104" s="16" t="str">
        <x:f>IF(OR(D104="",E104=0),"",L104/E104)</x:f>
      </x:c>
      <x:c r="L104" s="16" t="str">
        <x:f>IF(D104="","",E104*F104*H104+I104+J104)</x:f>
      </x:c>
    </x:row>
  </x:sheetData>
  <x:sheetProtection sheet="1" objects="1" scenarios="1" autoFilter="0" sort="0" selectLockedCells="0" selectUnlockedCells="0"/>
  <x:mergeCells>
    <x:mergeCell ref="A1:L1"/>
    <x:mergeCell ref="A2:L2"/>
  </x:mergeCells>
  <x:dataValidations count="1">
    <x:dataValidation type="list" sqref="G5:G104">
      <x:formula1>"KZT,CNY,USD,RUB"</x:formula1>
    </x:dataValidation>
  </x:dataValidations>
  <x:pageMargins left="0.7" right="0.7" top="0.75" bottom="0.75" header="0.3" footer="0.3"/>
  <x:tableParts count="1">
    <x:tablePart ns1:id="R899d96a013fd4bf3"/>
  </x:tableParts>
</x:worksheet>
</file>

<file path=xl/worksheets/sheet10.xml><?xml version="1.0" encoding="utf-8"?>
<x:worksheet xmlns:ns1="http://schemas.openxmlformats.org/officeDocument/2006/relationships"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34" customHeight="1">
      <x:c r="A1" s="2" t="str">
        <x:v>AutoHome  /  Деньги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56" customHeight="1">
      <x:c r="A4" s="9" t="str">
        <x:v>Дата</x:v>
      </x:c>
      <x:c r="B4" s="9" t="str">
        <x:v>Тип</x:v>
      </x:c>
      <x:c r="C4" s="9" t="str">
        <x:v>Категория</x:v>
      </x:c>
      <x:c r="D4" s="9" t="str">
        <x:v>Описание</x:v>
      </x:c>
      <x:c r="E4" s="9" t="str">
        <x:v>Сумма</x:v>
      </x:c>
      <x:c r="F4" s="9" t="str">
        <x:v>Контрагент</x:v>
      </x:c>
      <x:c r="G4" s="9" t="str">
        <x:v>Документ</x:v>
      </x:c>
      <x:c r="H4" s="9" t="str">
        <x:v>Комментарий</x:v>
      </x:c>
      <x:c r="I4" s="9" t="str">
        <x:v>Включать в прибыль</x:v>
      </x:c>
      <x:c r="J4" s="9" t="str">
        <x:v>Доход прибыли</x:v>
      </x:c>
      <x:c r="K4" s="9" t="str">
        <x:v>Расход прибыли</x:v>
      </x:c>
      <x:c r="L4" s="9" t="str">
        <x:v>Денежный поток</x:v>
      </x:c>
    </x:row>
    <x:row r="5" ht="23" customHeight="1">
      <x:c r="A5" s="54"/>
      <x:c r="B5" s="51"/>
      <x:c r="C5" s="51"/>
      <x:c r="D5" s="51"/>
      <x:c r="E5" s="55"/>
      <x:c r="F5" s="51"/>
      <x:c r="G5" s="51"/>
      <x:c r="H5" s="51"/>
      <x:c r="I5" s="51"/>
      <x:c r="J5" s="16" t="n">
        <x:f>IF(AND(I5="Да",B5="Доход"),E5,0)</x:f>
        <x:v>0</x:v>
      </x:c>
      <x:c r="K5" s="16" t="n">
        <x:f>IF(AND(I5="Да",B5="Расход"),E5,0)</x:f>
        <x:v>0</x:v>
      </x:c>
      <x:c r="L5" s="16" t="n">
        <x:f>IF(B5="Доход",E5,IF(B5="Расход",-E5,0))</x:f>
        <x:v>0</x:v>
      </x:c>
    </x:row>
    <x:row r="6" ht="23" customHeight="1">
      <x:c r="A6" s="54"/>
      <x:c r="B6" s="51"/>
      <x:c r="C6" s="51"/>
      <x:c r="D6" s="51"/>
      <x:c r="E6" s="55"/>
      <x:c r="F6" s="51"/>
      <x:c r="G6" s="51"/>
      <x:c r="H6" s="51"/>
      <x:c r="I6" s="51"/>
      <x:c r="J6" s="16" t="n">
        <x:f>IF(AND(I6="Да",B6="Доход"),E6,0)</x:f>
        <x:v>0</x:v>
      </x:c>
      <x:c r="K6" s="16" t="n">
        <x:f>IF(AND(I6="Да",B6="Расход"),E6,0)</x:f>
        <x:v>0</x:v>
      </x:c>
      <x:c r="L6" s="16" t="n">
        <x:f>IF(B6="Доход",E6,IF(B6="Расход",-E6,0))</x:f>
        <x:v>0</x:v>
      </x:c>
    </x:row>
    <x:row r="7" ht="23" customHeight="1">
      <x:c r="A7" s="54"/>
      <x:c r="B7" s="51"/>
      <x:c r="C7" s="51"/>
      <x:c r="D7" s="51"/>
      <x:c r="E7" s="55"/>
      <x:c r="F7" s="51"/>
      <x:c r="G7" s="51"/>
      <x:c r="H7" s="51"/>
      <x:c r="I7" s="51"/>
      <x:c r="J7" s="16" t="n">
        <x:f>IF(AND(I7="Да",B7="Доход"),E7,0)</x:f>
        <x:v>0</x:v>
      </x:c>
      <x:c r="K7" s="16" t="n">
        <x:f>IF(AND(I7="Да",B7="Расход"),E7,0)</x:f>
        <x:v>0</x:v>
      </x:c>
      <x:c r="L7" s="16" t="n">
        <x:f>IF(B7="Доход",E7,IF(B7="Расход",-E7,0))</x:f>
        <x:v>0</x:v>
      </x:c>
    </x:row>
    <x:row r="8" ht="23" customHeight="1">
      <x:c r="A8" s="54"/>
      <x:c r="B8" s="51"/>
      <x:c r="C8" s="51"/>
      <x:c r="D8" s="51"/>
      <x:c r="E8" s="55"/>
      <x:c r="F8" s="51"/>
      <x:c r="G8" s="51"/>
      <x:c r="H8" s="51"/>
      <x:c r="I8" s="51"/>
      <x:c r="J8" s="16" t="n">
        <x:f>IF(AND(I8="Да",B8="Доход"),E8,0)</x:f>
        <x:v>0</x:v>
      </x:c>
      <x:c r="K8" s="16" t="n">
        <x:f>IF(AND(I8="Да",B8="Расход"),E8,0)</x:f>
        <x:v>0</x:v>
      </x:c>
      <x:c r="L8" s="16" t="n">
        <x:f>IF(B8="Доход",E8,IF(B8="Расход",-E8,0))</x:f>
        <x:v>0</x:v>
      </x:c>
    </x:row>
    <x:row r="9" ht="23" customHeight="1">
      <x:c r="A9" s="54"/>
      <x:c r="B9" s="51"/>
      <x:c r="C9" s="51"/>
      <x:c r="D9" s="51"/>
      <x:c r="E9" s="55"/>
      <x:c r="F9" s="51"/>
      <x:c r="G9" s="51"/>
      <x:c r="H9" s="51"/>
      <x:c r="I9" s="51"/>
      <x:c r="J9" s="16" t="n">
        <x:f>IF(AND(I9="Да",B9="Доход"),E9,0)</x:f>
        <x:v>0</x:v>
      </x:c>
      <x:c r="K9" s="16" t="n">
        <x:f>IF(AND(I9="Да",B9="Расход"),E9,0)</x:f>
        <x:v>0</x:v>
      </x:c>
      <x:c r="L9" s="16" t="n">
        <x:f>IF(B9="Доход",E9,IF(B9="Расход",-E9,0))</x:f>
        <x:v>0</x:v>
      </x:c>
    </x:row>
    <x:row r="10" ht="23" customHeight="1">
      <x:c r="A10" s="54"/>
      <x:c r="B10" s="51"/>
      <x:c r="C10" s="51"/>
      <x:c r="D10" s="51"/>
      <x:c r="E10" s="55"/>
      <x:c r="F10" s="51"/>
      <x:c r="G10" s="51"/>
      <x:c r="H10" s="51"/>
      <x:c r="I10" s="51"/>
      <x:c r="J10" s="16" t="n">
        <x:f>IF(AND(I10="Да",B10="Доход"),E10,0)</x:f>
        <x:v>0</x:v>
      </x:c>
      <x:c r="K10" s="16" t="n">
        <x:f>IF(AND(I10="Да",B10="Расход"),E10,0)</x:f>
        <x:v>0</x:v>
      </x:c>
      <x:c r="L10" s="16" t="n">
        <x:f>IF(B10="Доход",E10,IF(B10="Расход",-E10,0))</x:f>
        <x:v>0</x:v>
      </x:c>
    </x:row>
    <x:row r="11" ht="23" customHeight="1">
      <x:c r="A11" s="54"/>
      <x:c r="B11" s="51"/>
      <x:c r="C11" s="51"/>
      <x:c r="D11" s="51"/>
      <x:c r="E11" s="55"/>
      <x:c r="F11" s="51"/>
      <x:c r="G11" s="51"/>
      <x:c r="H11" s="51"/>
      <x:c r="I11" s="51"/>
      <x:c r="J11" s="16" t="n">
        <x:f>IF(AND(I11="Да",B11="Доход"),E11,0)</x:f>
        <x:v>0</x:v>
      </x:c>
      <x:c r="K11" s="16" t="n">
        <x:f>IF(AND(I11="Да",B11="Расход"),E11,0)</x:f>
        <x:v>0</x:v>
      </x:c>
      <x:c r="L11" s="16" t="n">
        <x:f>IF(B11="Доход",E11,IF(B11="Расход",-E11,0))</x:f>
        <x:v>0</x:v>
      </x:c>
    </x:row>
    <x:row r="12" ht="23" customHeight="1">
      <x:c r="A12" s="54"/>
      <x:c r="B12" s="51"/>
      <x:c r="C12" s="51"/>
      <x:c r="D12" s="51"/>
      <x:c r="E12" s="55"/>
      <x:c r="F12" s="51"/>
      <x:c r="G12" s="51"/>
      <x:c r="H12" s="51"/>
      <x:c r="I12" s="51"/>
      <x:c r="J12" s="16" t="n">
        <x:f>IF(AND(I12="Да",B12="Доход"),E12,0)</x:f>
        <x:v>0</x:v>
      </x:c>
      <x:c r="K12" s="16" t="n">
        <x:f>IF(AND(I12="Да",B12="Расход"),E12,0)</x:f>
        <x:v>0</x:v>
      </x:c>
      <x:c r="L12" s="16" t="n">
        <x:f>IF(B12="Доход",E12,IF(B12="Расход",-E12,0))</x:f>
        <x:v>0</x:v>
      </x:c>
    </x:row>
    <x:row r="13" ht="23" customHeight="1">
      <x:c r="A13" s="54"/>
      <x:c r="B13" s="51"/>
      <x:c r="C13" s="51"/>
      <x:c r="D13" s="51"/>
      <x:c r="E13" s="55"/>
      <x:c r="F13" s="51"/>
      <x:c r="G13" s="51"/>
      <x:c r="H13" s="51"/>
      <x:c r="I13" s="51"/>
      <x:c r="J13" s="16" t="n">
        <x:f>IF(AND(I13="Да",B13="Доход"),E13,0)</x:f>
        <x:v>0</x:v>
      </x:c>
      <x:c r="K13" s="16" t="n">
        <x:f>IF(AND(I13="Да",B13="Расход"),E13,0)</x:f>
        <x:v>0</x:v>
      </x:c>
      <x:c r="L13" s="16" t="n">
        <x:f>IF(B13="Доход",E13,IF(B13="Расход",-E13,0))</x:f>
        <x:v>0</x:v>
      </x:c>
    </x:row>
    <x:row r="14" ht="23" customHeight="1">
      <x:c r="A14" s="54"/>
      <x:c r="B14" s="51"/>
      <x:c r="C14" s="51"/>
      <x:c r="D14" s="51"/>
      <x:c r="E14" s="55"/>
      <x:c r="F14" s="51"/>
      <x:c r="G14" s="51"/>
      <x:c r="H14" s="51"/>
      <x:c r="I14" s="51"/>
      <x:c r="J14" s="16" t="n">
        <x:f>IF(AND(I14="Да",B14="Доход"),E14,0)</x:f>
        <x:v>0</x:v>
      </x:c>
      <x:c r="K14" s="16" t="n">
        <x:f>IF(AND(I14="Да",B14="Расход"),E14,0)</x:f>
        <x:v>0</x:v>
      </x:c>
      <x:c r="L14" s="16" t="n">
        <x:f>IF(B14="Доход",E14,IF(B14="Расход",-E14,0))</x:f>
        <x:v>0</x:v>
      </x:c>
    </x:row>
    <x:row r="15" ht="23" customHeight="1">
      <x:c r="A15" s="54"/>
      <x:c r="B15" s="51"/>
      <x:c r="C15" s="51"/>
      <x:c r="D15" s="51"/>
      <x:c r="E15" s="55"/>
      <x:c r="F15" s="51"/>
      <x:c r="G15" s="51"/>
      <x:c r="H15" s="51"/>
      <x:c r="I15" s="51"/>
      <x:c r="J15" s="16" t="n">
        <x:f>IF(AND(I15="Да",B15="Доход"),E15,0)</x:f>
        <x:v>0</x:v>
      </x:c>
      <x:c r="K15" s="16" t="n">
        <x:f>IF(AND(I15="Да",B15="Расход"),E15,0)</x:f>
        <x:v>0</x:v>
      </x:c>
      <x:c r="L15" s="16" t="n">
        <x:f>IF(B15="Доход",E15,IF(B15="Расход",-E15,0))</x:f>
        <x:v>0</x:v>
      </x:c>
    </x:row>
    <x:row r="16" ht="23" customHeight="1">
      <x:c r="A16" s="54"/>
      <x:c r="B16" s="51"/>
      <x:c r="C16" s="51"/>
      <x:c r="D16" s="51"/>
      <x:c r="E16" s="55"/>
      <x:c r="F16" s="51"/>
      <x:c r="G16" s="51"/>
      <x:c r="H16" s="51"/>
      <x:c r="I16" s="51"/>
      <x:c r="J16" s="16" t="n">
        <x:f>IF(AND(I16="Да",B16="Доход"),E16,0)</x:f>
        <x:v>0</x:v>
      </x:c>
      <x:c r="K16" s="16" t="n">
        <x:f>IF(AND(I16="Да",B16="Расход"),E16,0)</x:f>
        <x:v>0</x:v>
      </x:c>
      <x:c r="L16" s="16" t="n">
        <x:f>IF(B16="Доход",E16,IF(B16="Расход",-E16,0))</x:f>
        <x:v>0</x:v>
      </x:c>
    </x:row>
    <x:row r="17" ht="23" customHeight="1">
      <x:c r="A17" s="54"/>
      <x:c r="B17" s="51"/>
      <x:c r="C17" s="51"/>
      <x:c r="D17" s="51"/>
      <x:c r="E17" s="55"/>
      <x:c r="F17" s="51"/>
      <x:c r="G17" s="51"/>
      <x:c r="H17" s="51"/>
      <x:c r="I17" s="51"/>
      <x:c r="J17" s="16" t="n">
        <x:f>IF(AND(I17="Да",B17="Доход"),E17,0)</x:f>
        <x:v>0</x:v>
      </x:c>
      <x:c r="K17" s="16" t="n">
        <x:f>IF(AND(I17="Да",B17="Расход"),E17,0)</x:f>
        <x:v>0</x:v>
      </x:c>
      <x:c r="L17" s="16" t="n">
        <x:f>IF(B17="Доход",E17,IF(B17="Расход",-E17,0))</x:f>
        <x:v>0</x:v>
      </x:c>
    </x:row>
    <x:row r="18" ht="23" customHeight="1">
      <x:c r="A18" s="54"/>
      <x:c r="B18" s="51"/>
      <x:c r="C18" s="51"/>
      <x:c r="D18" s="51"/>
      <x:c r="E18" s="55"/>
      <x:c r="F18" s="51"/>
      <x:c r="G18" s="51"/>
      <x:c r="H18" s="51"/>
      <x:c r="I18" s="51"/>
      <x:c r="J18" s="16" t="n">
        <x:f>IF(AND(I18="Да",B18="Доход"),E18,0)</x:f>
        <x:v>0</x:v>
      </x:c>
      <x:c r="K18" s="16" t="n">
        <x:f>IF(AND(I18="Да",B18="Расход"),E18,0)</x:f>
        <x:v>0</x:v>
      </x:c>
      <x:c r="L18" s="16" t="n">
        <x:f>IF(B18="Доход",E18,IF(B18="Расход",-E18,0))</x:f>
        <x:v>0</x:v>
      </x:c>
    </x:row>
    <x:row r="19" ht="23" customHeight="1">
      <x:c r="A19" s="54"/>
      <x:c r="B19" s="51"/>
      <x:c r="C19" s="51"/>
      <x:c r="D19" s="51"/>
      <x:c r="E19" s="55"/>
      <x:c r="F19" s="51"/>
      <x:c r="G19" s="51"/>
      <x:c r="H19" s="51"/>
      <x:c r="I19" s="51"/>
      <x:c r="J19" s="16" t="n">
        <x:f>IF(AND(I19="Да",B19="Доход"),E19,0)</x:f>
        <x:v>0</x:v>
      </x:c>
      <x:c r="K19" s="16" t="n">
        <x:f>IF(AND(I19="Да",B19="Расход"),E19,0)</x:f>
        <x:v>0</x:v>
      </x:c>
      <x:c r="L19" s="16" t="n">
        <x:f>IF(B19="Доход",E19,IF(B19="Расход",-E19,0))</x:f>
        <x:v>0</x:v>
      </x:c>
    </x:row>
    <x:row r="20" ht="23" customHeight="1">
      <x:c r="A20" s="54"/>
      <x:c r="B20" s="51"/>
      <x:c r="C20" s="51"/>
      <x:c r="D20" s="51"/>
      <x:c r="E20" s="55"/>
      <x:c r="F20" s="51"/>
      <x:c r="G20" s="51"/>
      <x:c r="H20" s="51"/>
      <x:c r="I20" s="51"/>
      <x:c r="J20" s="16" t="n">
        <x:f>IF(AND(I20="Да",B20="Доход"),E20,0)</x:f>
        <x:v>0</x:v>
      </x:c>
      <x:c r="K20" s="16" t="n">
        <x:f>IF(AND(I20="Да",B20="Расход"),E20,0)</x:f>
        <x:v>0</x:v>
      </x:c>
      <x:c r="L20" s="16" t="n">
        <x:f>IF(B20="Доход",E20,IF(B20="Расход",-E20,0))</x:f>
        <x:v>0</x:v>
      </x:c>
    </x:row>
    <x:row r="21" ht="23" customHeight="1">
      <x:c r="A21" s="54"/>
      <x:c r="B21" s="51"/>
      <x:c r="C21" s="51"/>
      <x:c r="D21" s="51"/>
      <x:c r="E21" s="55"/>
      <x:c r="F21" s="51"/>
      <x:c r="G21" s="51"/>
      <x:c r="H21" s="51"/>
      <x:c r="I21" s="51"/>
      <x:c r="J21" s="16" t="n">
        <x:f>IF(AND(I21="Да",B21="Доход"),E21,0)</x:f>
        <x:v>0</x:v>
      </x:c>
      <x:c r="K21" s="16" t="n">
        <x:f>IF(AND(I21="Да",B21="Расход"),E21,0)</x:f>
        <x:v>0</x:v>
      </x:c>
      <x:c r="L21" s="16" t="n">
        <x:f>IF(B21="Доход",E21,IF(B21="Расход",-E21,0))</x:f>
        <x:v>0</x:v>
      </x:c>
    </x:row>
    <x:row r="22" ht="23" customHeight="1">
      <x:c r="A22" s="54"/>
      <x:c r="B22" s="51"/>
      <x:c r="C22" s="51"/>
      <x:c r="D22" s="51"/>
      <x:c r="E22" s="55"/>
      <x:c r="F22" s="51"/>
      <x:c r="G22" s="51"/>
      <x:c r="H22" s="51"/>
      <x:c r="I22" s="51"/>
      <x:c r="J22" s="16" t="n">
        <x:f>IF(AND(I22="Да",B22="Доход"),E22,0)</x:f>
        <x:v>0</x:v>
      </x:c>
      <x:c r="K22" s="16" t="n">
        <x:f>IF(AND(I22="Да",B22="Расход"),E22,0)</x:f>
        <x:v>0</x:v>
      </x:c>
      <x:c r="L22" s="16" t="n">
        <x:f>IF(B22="Доход",E22,IF(B22="Расход",-E22,0))</x:f>
        <x:v>0</x:v>
      </x:c>
    </x:row>
    <x:row r="23" ht="23" customHeight="1">
      <x:c r="A23" s="54"/>
      <x:c r="B23" s="51"/>
      <x:c r="C23" s="51"/>
      <x:c r="D23" s="51"/>
      <x:c r="E23" s="55"/>
      <x:c r="F23" s="51"/>
      <x:c r="G23" s="51"/>
      <x:c r="H23" s="51"/>
      <x:c r="I23" s="51"/>
      <x:c r="J23" s="16" t="n">
        <x:f>IF(AND(I23="Да",B23="Доход"),E23,0)</x:f>
        <x:v>0</x:v>
      </x:c>
      <x:c r="K23" s="16" t="n">
        <x:f>IF(AND(I23="Да",B23="Расход"),E23,0)</x:f>
        <x:v>0</x:v>
      </x:c>
      <x:c r="L23" s="16" t="n">
        <x:f>IF(B23="Доход",E23,IF(B23="Расход",-E23,0))</x:f>
        <x:v>0</x:v>
      </x:c>
    </x:row>
    <x:row r="24" ht="23" customHeight="1">
      <x:c r="A24" s="54"/>
      <x:c r="B24" s="51"/>
      <x:c r="C24" s="51"/>
      <x:c r="D24" s="51"/>
      <x:c r="E24" s="55"/>
      <x:c r="F24" s="51"/>
      <x:c r="G24" s="51"/>
      <x:c r="H24" s="51"/>
      <x:c r="I24" s="51"/>
      <x:c r="J24" s="16" t="n">
        <x:f>IF(AND(I24="Да",B24="Доход"),E24,0)</x:f>
        <x:v>0</x:v>
      </x:c>
      <x:c r="K24" s="16" t="n">
        <x:f>IF(AND(I24="Да",B24="Расход"),E24,0)</x:f>
        <x:v>0</x:v>
      </x:c>
      <x:c r="L24" s="16" t="n">
        <x:f>IF(B24="Доход",E24,IF(B24="Расход",-E24,0))</x:f>
        <x:v>0</x:v>
      </x:c>
    </x:row>
    <x:row r="25" ht="23" customHeight="1">
      <x:c r="A25" s="54"/>
      <x:c r="B25" s="51"/>
      <x:c r="C25" s="51"/>
      <x:c r="D25" s="51"/>
      <x:c r="E25" s="55"/>
      <x:c r="F25" s="51"/>
      <x:c r="G25" s="51"/>
      <x:c r="H25" s="51"/>
      <x:c r="I25" s="51"/>
      <x:c r="J25" s="16" t="n">
        <x:f>IF(AND(I25="Да",B25="Доход"),E25,0)</x:f>
        <x:v>0</x:v>
      </x:c>
      <x:c r="K25" s="16" t="n">
        <x:f>IF(AND(I25="Да",B25="Расход"),E25,0)</x:f>
        <x:v>0</x:v>
      </x:c>
      <x:c r="L25" s="16" t="n">
        <x:f>IF(B25="Доход",E25,IF(B25="Расход",-E25,0))</x:f>
        <x:v>0</x:v>
      </x:c>
    </x:row>
    <x:row r="26" ht="23" customHeight="1">
      <x:c r="A26" s="54"/>
      <x:c r="B26" s="51"/>
      <x:c r="C26" s="51"/>
      <x:c r="D26" s="51"/>
      <x:c r="E26" s="55"/>
      <x:c r="F26" s="51"/>
      <x:c r="G26" s="51"/>
      <x:c r="H26" s="51"/>
      <x:c r="I26" s="51"/>
      <x:c r="J26" s="16" t="n">
        <x:f>IF(AND(I26="Да",B26="Доход"),E26,0)</x:f>
        <x:v>0</x:v>
      </x:c>
      <x:c r="K26" s="16" t="n">
        <x:f>IF(AND(I26="Да",B26="Расход"),E26,0)</x:f>
        <x:v>0</x:v>
      </x:c>
      <x:c r="L26" s="16" t="n">
        <x:f>IF(B26="Доход",E26,IF(B26="Расход",-E26,0))</x:f>
        <x:v>0</x:v>
      </x:c>
    </x:row>
    <x:row r="27" ht="23" customHeight="1">
      <x:c r="A27" s="54"/>
      <x:c r="B27" s="51"/>
      <x:c r="C27" s="51"/>
      <x:c r="D27" s="51"/>
      <x:c r="E27" s="55"/>
      <x:c r="F27" s="51"/>
      <x:c r="G27" s="51"/>
      <x:c r="H27" s="51"/>
      <x:c r="I27" s="51"/>
      <x:c r="J27" s="16" t="n">
        <x:f>IF(AND(I27="Да",B27="Доход"),E27,0)</x:f>
        <x:v>0</x:v>
      </x:c>
      <x:c r="K27" s="16" t="n">
        <x:f>IF(AND(I27="Да",B27="Расход"),E27,0)</x:f>
        <x:v>0</x:v>
      </x:c>
      <x:c r="L27" s="16" t="n">
        <x:f>IF(B27="Доход",E27,IF(B27="Расход",-E27,0))</x:f>
        <x:v>0</x:v>
      </x:c>
    </x:row>
    <x:row r="28" ht="23" customHeight="1">
      <x:c r="A28" s="54"/>
      <x:c r="B28" s="51"/>
      <x:c r="C28" s="51"/>
      <x:c r="D28" s="51"/>
      <x:c r="E28" s="55"/>
      <x:c r="F28" s="51"/>
      <x:c r="G28" s="51"/>
      <x:c r="H28" s="51"/>
      <x:c r="I28" s="51"/>
      <x:c r="J28" s="16" t="n">
        <x:f>IF(AND(I28="Да",B28="Доход"),E28,0)</x:f>
        <x:v>0</x:v>
      </x:c>
      <x:c r="K28" s="16" t="n">
        <x:f>IF(AND(I28="Да",B28="Расход"),E28,0)</x:f>
        <x:v>0</x:v>
      </x:c>
      <x:c r="L28" s="16" t="n">
        <x:f>IF(B28="Доход",E28,IF(B28="Расход",-E28,0))</x:f>
        <x:v>0</x:v>
      </x:c>
    </x:row>
    <x:row r="29" ht="23" customHeight="1">
      <x:c r="A29" s="54"/>
      <x:c r="B29" s="51"/>
      <x:c r="C29" s="51"/>
      <x:c r="D29" s="51"/>
      <x:c r="E29" s="55"/>
      <x:c r="F29" s="51"/>
      <x:c r="G29" s="51"/>
      <x:c r="H29" s="51"/>
      <x:c r="I29" s="51"/>
      <x:c r="J29" s="16" t="n">
        <x:f>IF(AND(I29="Да",B29="Доход"),E29,0)</x:f>
        <x:v>0</x:v>
      </x:c>
      <x:c r="K29" s="16" t="n">
        <x:f>IF(AND(I29="Да",B29="Расход"),E29,0)</x:f>
        <x:v>0</x:v>
      </x:c>
      <x:c r="L29" s="16" t="n">
        <x:f>IF(B29="Доход",E29,IF(B29="Расход",-E29,0))</x:f>
        <x:v>0</x:v>
      </x:c>
    </x:row>
    <x:row r="30" ht="23" customHeight="1">
      <x:c r="A30" s="54"/>
      <x:c r="B30" s="51"/>
      <x:c r="C30" s="51"/>
      <x:c r="D30" s="51"/>
      <x:c r="E30" s="55"/>
      <x:c r="F30" s="51"/>
      <x:c r="G30" s="51"/>
      <x:c r="H30" s="51"/>
      <x:c r="I30" s="51"/>
      <x:c r="J30" s="16" t="n">
        <x:f>IF(AND(I30="Да",B30="Доход"),E30,0)</x:f>
        <x:v>0</x:v>
      </x:c>
      <x:c r="K30" s="16" t="n">
        <x:f>IF(AND(I30="Да",B30="Расход"),E30,0)</x:f>
        <x:v>0</x:v>
      </x:c>
      <x:c r="L30" s="16" t="n">
        <x:f>IF(B30="Доход",E30,IF(B30="Расход",-E30,0))</x:f>
        <x:v>0</x:v>
      </x:c>
    </x:row>
    <x:row r="31" ht="23" customHeight="1">
      <x:c r="A31" s="54"/>
      <x:c r="B31" s="51"/>
      <x:c r="C31" s="51"/>
      <x:c r="D31" s="51"/>
      <x:c r="E31" s="55"/>
      <x:c r="F31" s="51"/>
      <x:c r="G31" s="51"/>
      <x:c r="H31" s="51"/>
      <x:c r="I31" s="51"/>
      <x:c r="J31" s="16" t="n">
        <x:f>IF(AND(I31="Да",B31="Доход"),E31,0)</x:f>
        <x:v>0</x:v>
      </x:c>
      <x:c r="K31" s="16" t="n">
        <x:f>IF(AND(I31="Да",B31="Расход"),E31,0)</x:f>
        <x:v>0</x:v>
      </x:c>
      <x:c r="L31" s="16" t="n">
        <x:f>IF(B31="Доход",E31,IF(B31="Расход",-E31,0))</x:f>
        <x:v>0</x:v>
      </x:c>
    </x:row>
    <x:row r="32" ht="23" customHeight="1">
      <x:c r="A32" s="54"/>
      <x:c r="B32" s="51"/>
      <x:c r="C32" s="51"/>
      <x:c r="D32" s="51"/>
      <x:c r="E32" s="55"/>
      <x:c r="F32" s="51"/>
      <x:c r="G32" s="51"/>
      <x:c r="H32" s="51"/>
      <x:c r="I32" s="51"/>
      <x:c r="J32" s="16" t="n">
        <x:f>IF(AND(I32="Да",B32="Доход"),E32,0)</x:f>
        <x:v>0</x:v>
      </x:c>
      <x:c r="K32" s="16" t="n">
        <x:f>IF(AND(I32="Да",B32="Расход"),E32,0)</x:f>
        <x:v>0</x:v>
      </x:c>
      <x:c r="L32" s="16" t="n">
        <x:f>IF(B32="Доход",E32,IF(B32="Расход",-E32,0))</x:f>
        <x:v>0</x:v>
      </x:c>
    </x:row>
    <x:row r="33" ht="23" customHeight="1">
      <x:c r="A33" s="54"/>
      <x:c r="B33" s="51"/>
      <x:c r="C33" s="51"/>
      <x:c r="D33" s="51"/>
      <x:c r="E33" s="55"/>
      <x:c r="F33" s="51"/>
      <x:c r="G33" s="51"/>
      <x:c r="H33" s="51"/>
      <x:c r="I33" s="51"/>
      <x:c r="J33" s="16" t="n">
        <x:f>IF(AND(I33="Да",B33="Доход"),E33,0)</x:f>
        <x:v>0</x:v>
      </x:c>
      <x:c r="K33" s="16" t="n">
        <x:f>IF(AND(I33="Да",B33="Расход"),E33,0)</x:f>
        <x:v>0</x:v>
      </x:c>
      <x:c r="L33" s="16" t="n">
        <x:f>IF(B33="Доход",E33,IF(B33="Расход",-E33,0))</x:f>
        <x:v>0</x:v>
      </x:c>
    </x:row>
    <x:row r="34" ht="23" customHeight="1">
      <x:c r="A34" s="54"/>
      <x:c r="B34" s="51"/>
      <x:c r="C34" s="51"/>
      <x:c r="D34" s="51"/>
      <x:c r="E34" s="55"/>
      <x:c r="F34" s="51"/>
      <x:c r="G34" s="51"/>
      <x:c r="H34" s="51"/>
      <x:c r="I34" s="51"/>
      <x:c r="J34" s="16" t="n">
        <x:f>IF(AND(I34="Да",B34="Доход"),E34,0)</x:f>
        <x:v>0</x:v>
      </x:c>
      <x:c r="K34" s="16" t="n">
        <x:f>IF(AND(I34="Да",B34="Расход"),E34,0)</x:f>
        <x:v>0</x:v>
      </x:c>
      <x:c r="L34" s="16" t="n">
        <x:f>IF(B34="Доход",E34,IF(B34="Расход",-E34,0))</x:f>
        <x:v>0</x:v>
      </x:c>
    </x:row>
    <x:row r="35" ht="23" customHeight="1">
      <x:c r="A35" s="54"/>
      <x:c r="B35" s="51"/>
      <x:c r="C35" s="51"/>
      <x:c r="D35" s="51"/>
      <x:c r="E35" s="55"/>
      <x:c r="F35" s="51"/>
      <x:c r="G35" s="51"/>
      <x:c r="H35" s="51"/>
      <x:c r="I35" s="51"/>
      <x:c r="J35" s="16" t="n">
        <x:f>IF(AND(I35="Да",B35="Доход"),E35,0)</x:f>
        <x:v>0</x:v>
      </x:c>
      <x:c r="K35" s="16" t="n">
        <x:f>IF(AND(I35="Да",B35="Расход"),E35,0)</x:f>
        <x:v>0</x:v>
      </x:c>
      <x:c r="L35" s="16" t="n">
        <x:f>IF(B35="Доход",E35,IF(B35="Расход",-E35,0))</x:f>
        <x:v>0</x:v>
      </x:c>
    </x:row>
    <x:row r="36" ht="23" customHeight="1">
      <x:c r="A36" s="54"/>
      <x:c r="B36" s="51"/>
      <x:c r="C36" s="51"/>
      <x:c r="D36" s="51"/>
      <x:c r="E36" s="55"/>
      <x:c r="F36" s="51"/>
      <x:c r="G36" s="51"/>
      <x:c r="H36" s="51"/>
      <x:c r="I36" s="51"/>
      <x:c r="J36" s="16" t="n">
        <x:f>IF(AND(I36="Да",B36="Доход"),E36,0)</x:f>
        <x:v>0</x:v>
      </x:c>
      <x:c r="K36" s="16" t="n">
        <x:f>IF(AND(I36="Да",B36="Расход"),E36,0)</x:f>
        <x:v>0</x:v>
      </x:c>
      <x:c r="L36" s="16" t="n">
        <x:f>IF(B36="Доход",E36,IF(B36="Расход",-E36,0))</x:f>
        <x:v>0</x:v>
      </x:c>
    </x:row>
    <x:row r="37" ht="23" customHeight="1">
      <x:c r="A37" s="54"/>
      <x:c r="B37" s="51"/>
      <x:c r="C37" s="51"/>
      <x:c r="D37" s="51"/>
      <x:c r="E37" s="55"/>
      <x:c r="F37" s="51"/>
      <x:c r="G37" s="51"/>
      <x:c r="H37" s="51"/>
      <x:c r="I37" s="51"/>
      <x:c r="J37" s="16" t="n">
        <x:f>IF(AND(I37="Да",B37="Доход"),E37,0)</x:f>
        <x:v>0</x:v>
      </x:c>
      <x:c r="K37" s="16" t="n">
        <x:f>IF(AND(I37="Да",B37="Расход"),E37,0)</x:f>
        <x:v>0</x:v>
      </x:c>
      <x:c r="L37" s="16" t="n">
        <x:f>IF(B37="Доход",E37,IF(B37="Расход",-E37,0))</x:f>
        <x:v>0</x:v>
      </x:c>
    </x:row>
    <x:row r="38" ht="23" customHeight="1">
      <x:c r="A38" s="54"/>
      <x:c r="B38" s="51"/>
      <x:c r="C38" s="51"/>
      <x:c r="D38" s="51"/>
      <x:c r="E38" s="55"/>
      <x:c r="F38" s="51"/>
      <x:c r="G38" s="51"/>
      <x:c r="H38" s="51"/>
      <x:c r="I38" s="51"/>
      <x:c r="J38" s="16" t="n">
        <x:f>IF(AND(I38="Да",B38="Доход"),E38,0)</x:f>
        <x:v>0</x:v>
      </x:c>
      <x:c r="K38" s="16" t="n">
        <x:f>IF(AND(I38="Да",B38="Расход"),E38,0)</x:f>
        <x:v>0</x:v>
      </x:c>
      <x:c r="L38" s="16" t="n">
        <x:f>IF(B38="Доход",E38,IF(B38="Расход",-E38,0))</x:f>
        <x:v>0</x:v>
      </x:c>
    </x:row>
    <x:row r="39" ht="23" customHeight="1">
      <x:c r="A39" s="54"/>
      <x:c r="B39" s="51"/>
      <x:c r="C39" s="51"/>
      <x:c r="D39" s="51"/>
      <x:c r="E39" s="55"/>
      <x:c r="F39" s="51"/>
      <x:c r="G39" s="51"/>
      <x:c r="H39" s="51"/>
      <x:c r="I39" s="51"/>
      <x:c r="J39" s="16" t="n">
        <x:f>IF(AND(I39="Да",B39="Доход"),E39,0)</x:f>
        <x:v>0</x:v>
      </x:c>
      <x:c r="K39" s="16" t="n">
        <x:f>IF(AND(I39="Да",B39="Расход"),E39,0)</x:f>
        <x:v>0</x:v>
      </x:c>
      <x:c r="L39" s="16" t="n">
        <x:f>IF(B39="Доход",E39,IF(B39="Расход",-E39,0))</x:f>
        <x:v>0</x:v>
      </x:c>
    </x:row>
    <x:row r="40" ht="23" customHeight="1">
      <x:c r="A40" s="54"/>
      <x:c r="B40" s="51"/>
      <x:c r="C40" s="51"/>
      <x:c r="D40" s="51"/>
      <x:c r="E40" s="55"/>
      <x:c r="F40" s="51"/>
      <x:c r="G40" s="51"/>
      <x:c r="H40" s="51"/>
      <x:c r="I40" s="51"/>
      <x:c r="J40" s="16" t="n">
        <x:f>IF(AND(I40="Да",B40="Доход"),E40,0)</x:f>
        <x:v>0</x:v>
      </x:c>
      <x:c r="K40" s="16" t="n">
        <x:f>IF(AND(I40="Да",B40="Расход"),E40,0)</x:f>
        <x:v>0</x:v>
      </x:c>
      <x:c r="L40" s="16" t="n">
        <x:f>IF(B40="Доход",E40,IF(B40="Расход",-E40,0))</x:f>
        <x:v>0</x:v>
      </x:c>
    </x:row>
    <x:row r="41" ht="23" customHeight="1">
      <x:c r="A41" s="54"/>
      <x:c r="B41" s="51"/>
      <x:c r="C41" s="51"/>
      <x:c r="D41" s="51"/>
      <x:c r="E41" s="55"/>
      <x:c r="F41" s="51"/>
      <x:c r="G41" s="51"/>
      <x:c r="H41" s="51"/>
      <x:c r="I41" s="51"/>
      <x:c r="J41" s="16" t="n">
        <x:f>IF(AND(I41="Да",B41="Доход"),E41,0)</x:f>
        <x:v>0</x:v>
      </x:c>
      <x:c r="K41" s="16" t="n">
        <x:f>IF(AND(I41="Да",B41="Расход"),E41,0)</x:f>
        <x:v>0</x:v>
      </x:c>
      <x:c r="L41" s="16" t="n">
        <x:f>IF(B41="Доход",E41,IF(B41="Расход",-E41,0))</x:f>
        <x:v>0</x:v>
      </x:c>
    </x:row>
    <x:row r="42" ht="23" customHeight="1">
      <x:c r="A42" s="54"/>
      <x:c r="B42" s="51"/>
      <x:c r="C42" s="51"/>
      <x:c r="D42" s="51"/>
      <x:c r="E42" s="55"/>
      <x:c r="F42" s="51"/>
      <x:c r="G42" s="51"/>
      <x:c r="H42" s="51"/>
      <x:c r="I42" s="51"/>
      <x:c r="J42" s="16" t="n">
        <x:f>IF(AND(I42="Да",B42="Доход"),E42,0)</x:f>
        <x:v>0</x:v>
      </x:c>
      <x:c r="K42" s="16" t="n">
        <x:f>IF(AND(I42="Да",B42="Расход"),E42,0)</x:f>
        <x:v>0</x:v>
      </x:c>
      <x:c r="L42" s="16" t="n">
        <x:f>IF(B42="Доход",E42,IF(B42="Расход",-E42,0))</x:f>
        <x:v>0</x:v>
      </x:c>
    </x:row>
    <x:row r="43" ht="23" customHeight="1">
      <x:c r="A43" s="54"/>
      <x:c r="B43" s="51"/>
      <x:c r="C43" s="51"/>
      <x:c r="D43" s="51"/>
      <x:c r="E43" s="55"/>
      <x:c r="F43" s="51"/>
      <x:c r="G43" s="51"/>
      <x:c r="H43" s="51"/>
      <x:c r="I43" s="51"/>
      <x:c r="J43" s="16" t="n">
        <x:f>IF(AND(I43="Да",B43="Доход"),E43,0)</x:f>
        <x:v>0</x:v>
      </x:c>
      <x:c r="K43" s="16" t="n">
        <x:f>IF(AND(I43="Да",B43="Расход"),E43,0)</x:f>
        <x:v>0</x:v>
      </x:c>
      <x:c r="L43" s="16" t="n">
        <x:f>IF(B43="Доход",E43,IF(B43="Расход",-E43,0))</x:f>
        <x:v>0</x:v>
      </x:c>
    </x:row>
    <x:row r="44" ht="23" customHeight="1">
      <x:c r="A44" s="54"/>
      <x:c r="B44" s="51"/>
      <x:c r="C44" s="51"/>
      <x:c r="D44" s="51"/>
      <x:c r="E44" s="55"/>
      <x:c r="F44" s="51"/>
      <x:c r="G44" s="51"/>
      <x:c r="H44" s="51"/>
      <x:c r="I44" s="51"/>
      <x:c r="J44" s="16" t="n">
        <x:f>IF(AND(I44="Да",B44="Доход"),E44,0)</x:f>
        <x:v>0</x:v>
      </x:c>
      <x:c r="K44" s="16" t="n">
        <x:f>IF(AND(I44="Да",B44="Расход"),E44,0)</x:f>
        <x:v>0</x:v>
      </x:c>
      <x:c r="L44" s="16" t="n">
        <x:f>IF(B44="Доход",E44,IF(B44="Расход",-E44,0))</x:f>
        <x:v>0</x:v>
      </x:c>
    </x:row>
    <x:row r="45" ht="23" customHeight="1">
      <x:c r="A45" s="54"/>
      <x:c r="B45" s="51"/>
      <x:c r="C45" s="51"/>
      <x:c r="D45" s="51"/>
      <x:c r="E45" s="55"/>
      <x:c r="F45" s="51"/>
      <x:c r="G45" s="51"/>
      <x:c r="H45" s="51"/>
      <x:c r="I45" s="51"/>
      <x:c r="J45" s="16" t="n">
        <x:f>IF(AND(I45="Да",B45="Доход"),E45,0)</x:f>
        <x:v>0</x:v>
      </x:c>
      <x:c r="K45" s="16" t="n">
        <x:f>IF(AND(I45="Да",B45="Расход"),E45,0)</x:f>
        <x:v>0</x:v>
      </x:c>
      <x:c r="L45" s="16" t="n">
        <x:f>IF(B45="Доход",E45,IF(B45="Расход",-E45,0))</x:f>
        <x:v>0</x:v>
      </x:c>
    </x:row>
    <x:row r="46" ht="23" customHeight="1">
      <x:c r="A46" s="54"/>
      <x:c r="B46" s="51"/>
      <x:c r="C46" s="51"/>
      <x:c r="D46" s="51"/>
      <x:c r="E46" s="55"/>
      <x:c r="F46" s="51"/>
      <x:c r="G46" s="51"/>
      <x:c r="H46" s="51"/>
      <x:c r="I46" s="51"/>
      <x:c r="J46" s="16" t="n">
        <x:f>IF(AND(I46="Да",B46="Доход"),E46,0)</x:f>
        <x:v>0</x:v>
      </x:c>
      <x:c r="K46" s="16" t="n">
        <x:f>IF(AND(I46="Да",B46="Расход"),E46,0)</x:f>
        <x:v>0</x:v>
      </x:c>
      <x:c r="L46" s="16" t="n">
        <x:f>IF(B46="Доход",E46,IF(B46="Расход",-E46,0))</x:f>
        <x:v>0</x:v>
      </x:c>
    </x:row>
    <x:row r="47" ht="23" customHeight="1">
      <x:c r="A47" s="54"/>
      <x:c r="B47" s="51"/>
      <x:c r="C47" s="51"/>
      <x:c r="D47" s="51"/>
      <x:c r="E47" s="55"/>
      <x:c r="F47" s="51"/>
      <x:c r="G47" s="51"/>
      <x:c r="H47" s="51"/>
      <x:c r="I47" s="51"/>
      <x:c r="J47" s="16" t="n">
        <x:f>IF(AND(I47="Да",B47="Доход"),E47,0)</x:f>
        <x:v>0</x:v>
      </x:c>
      <x:c r="K47" s="16" t="n">
        <x:f>IF(AND(I47="Да",B47="Расход"),E47,0)</x:f>
        <x:v>0</x:v>
      </x:c>
      <x:c r="L47" s="16" t="n">
        <x:f>IF(B47="Доход",E47,IF(B47="Расход",-E47,0))</x:f>
        <x:v>0</x:v>
      </x:c>
    </x:row>
    <x:row r="48" ht="23" customHeight="1">
      <x:c r="A48" s="54"/>
      <x:c r="B48" s="51"/>
      <x:c r="C48" s="51"/>
      <x:c r="D48" s="51"/>
      <x:c r="E48" s="55"/>
      <x:c r="F48" s="51"/>
      <x:c r="G48" s="51"/>
      <x:c r="H48" s="51"/>
      <x:c r="I48" s="51"/>
      <x:c r="J48" s="16" t="n">
        <x:f>IF(AND(I48="Да",B48="Доход"),E48,0)</x:f>
        <x:v>0</x:v>
      </x:c>
      <x:c r="K48" s="16" t="n">
        <x:f>IF(AND(I48="Да",B48="Расход"),E48,0)</x:f>
        <x:v>0</x:v>
      </x:c>
      <x:c r="L48" s="16" t="n">
        <x:f>IF(B48="Доход",E48,IF(B48="Расход",-E48,0))</x:f>
        <x:v>0</x:v>
      </x:c>
    </x:row>
    <x:row r="49" ht="23" customHeight="1">
      <x:c r="A49" s="54"/>
      <x:c r="B49" s="51"/>
      <x:c r="C49" s="51"/>
      <x:c r="D49" s="51"/>
      <x:c r="E49" s="55"/>
      <x:c r="F49" s="51"/>
      <x:c r="G49" s="51"/>
      <x:c r="H49" s="51"/>
      <x:c r="I49" s="51"/>
      <x:c r="J49" s="16" t="n">
        <x:f>IF(AND(I49="Да",B49="Доход"),E49,0)</x:f>
        <x:v>0</x:v>
      </x:c>
      <x:c r="K49" s="16" t="n">
        <x:f>IF(AND(I49="Да",B49="Расход"),E49,0)</x:f>
        <x:v>0</x:v>
      </x:c>
      <x:c r="L49" s="16" t="n">
        <x:f>IF(B49="Доход",E49,IF(B49="Расход",-E49,0))</x:f>
        <x:v>0</x:v>
      </x:c>
    </x:row>
    <x:row r="50" ht="23" customHeight="1">
      <x:c r="A50" s="54"/>
      <x:c r="B50" s="51"/>
      <x:c r="C50" s="51"/>
      <x:c r="D50" s="51"/>
      <x:c r="E50" s="55"/>
      <x:c r="F50" s="51"/>
      <x:c r="G50" s="51"/>
      <x:c r="H50" s="51"/>
      <x:c r="I50" s="51"/>
      <x:c r="J50" s="16" t="n">
        <x:f>IF(AND(I50="Да",B50="Доход"),E50,0)</x:f>
        <x:v>0</x:v>
      </x:c>
      <x:c r="K50" s="16" t="n">
        <x:f>IF(AND(I50="Да",B50="Расход"),E50,0)</x:f>
        <x:v>0</x:v>
      </x:c>
      <x:c r="L50" s="16" t="n">
        <x:f>IF(B50="Доход",E50,IF(B50="Расход",-E50,0))</x:f>
        <x:v>0</x:v>
      </x:c>
    </x:row>
    <x:row r="51" ht="23" customHeight="1">
      <x:c r="A51" s="54"/>
      <x:c r="B51" s="51"/>
      <x:c r="C51" s="51"/>
      <x:c r="D51" s="51"/>
      <x:c r="E51" s="55"/>
      <x:c r="F51" s="51"/>
      <x:c r="G51" s="51"/>
      <x:c r="H51" s="51"/>
      <x:c r="I51" s="51"/>
      <x:c r="J51" s="16" t="n">
        <x:f>IF(AND(I51="Да",B51="Доход"),E51,0)</x:f>
        <x:v>0</x:v>
      </x:c>
      <x:c r="K51" s="16" t="n">
        <x:f>IF(AND(I51="Да",B51="Расход"),E51,0)</x:f>
        <x:v>0</x:v>
      </x:c>
      <x:c r="L51" s="16" t="n">
        <x:f>IF(B51="Доход",E51,IF(B51="Расход",-E51,0))</x:f>
        <x:v>0</x:v>
      </x:c>
    </x:row>
    <x:row r="52" ht="23" customHeight="1">
      <x:c r="A52" s="54"/>
      <x:c r="B52" s="51"/>
      <x:c r="C52" s="51"/>
      <x:c r="D52" s="51"/>
      <x:c r="E52" s="55"/>
      <x:c r="F52" s="51"/>
      <x:c r="G52" s="51"/>
      <x:c r="H52" s="51"/>
      <x:c r="I52" s="51"/>
      <x:c r="J52" s="16" t="n">
        <x:f>IF(AND(I52="Да",B52="Доход"),E52,0)</x:f>
        <x:v>0</x:v>
      </x:c>
      <x:c r="K52" s="16" t="n">
        <x:f>IF(AND(I52="Да",B52="Расход"),E52,0)</x:f>
        <x:v>0</x:v>
      </x:c>
      <x:c r="L52" s="16" t="n">
        <x:f>IF(B52="Доход",E52,IF(B52="Расход",-E52,0))</x:f>
        <x:v>0</x:v>
      </x:c>
    </x:row>
    <x:row r="53" ht="23" customHeight="1">
      <x:c r="A53" s="54"/>
      <x:c r="B53" s="51"/>
      <x:c r="C53" s="51"/>
      <x:c r="D53" s="51"/>
      <x:c r="E53" s="55"/>
      <x:c r="F53" s="51"/>
      <x:c r="G53" s="51"/>
      <x:c r="H53" s="51"/>
      <x:c r="I53" s="51"/>
      <x:c r="J53" s="16" t="n">
        <x:f>IF(AND(I53="Да",B53="Доход"),E53,0)</x:f>
        <x:v>0</x:v>
      </x:c>
      <x:c r="K53" s="16" t="n">
        <x:f>IF(AND(I53="Да",B53="Расход"),E53,0)</x:f>
        <x:v>0</x:v>
      </x:c>
      <x:c r="L53" s="16" t="n">
        <x:f>IF(B53="Доход",E53,IF(B53="Расход",-E53,0))</x:f>
        <x:v>0</x:v>
      </x:c>
    </x:row>
    <x:row r="54" ht="23" customHeight="1">
      <x:c r="A54" s="54"/>
      <x:c r="B54" s="51"/>
      <x:c r="C54" s="51"/>
      <x:c r="D54" s="51"/>
      <x:c r="E54" s="55"/>
      <x:c r="F54" s="51"/>
      <x:c r="G54" s="51"/>
      <x:c r="H54" s="51"/>
      <x:c r="I54" s="51"/>
      <x:c r="J54" s="16" t="n">
        <x:f>IF(AND(I54="Да",B54="Доход"),E54,0)</x:f>
        <x:v>0</x:v>
      </x:c>
      <x:c r="K54" s="16" t="n">
        <x:f>IF(AND(I54="Да",B54="Расход"),E54,0)</x:f>
        <x:v>0</x:v>
      </x:c>
      <x:c r="L54" s="16" t="n">
        <x:f>IF(B54="Доход",E54,IF(B54="Расход",-E54,0))</x:f>
        <x:v>0</x:v>
      </x:c>
    </x:row>
    <x:row r="55" ht="23" customHeight="1">
      <x:c r="A55" s="54"/>
      <x:c r="B55" s="51"/>
      <x:c r="C55" s="51"/>
      <x:c r="D55" s="51"/>
      <x:c r="E55" s="55"/>
      <x:c r="F55" s="51"/>
      <x:c r="G55" s="51"/>
      <x:c r="H55" s="51"/>
      <x:c r="I55" s="51"/>
      <x:c r="J55" s="16" t="n">
        <x:f>IF(AND(I55="Да",B55="Доход"),E55,0)</x:f>
        <x:v>0</x:v>
      </x:c>
      <x:c r="K55" s="16" t="n">
        <x:f>IF(AND(I55="Да",B55="Расход"),E55,0)</x:f>
        <x:v>0</x:v>
      </x:c>
      <x:c r="L55" s="16" t="n">
        <x:f>IF(B55="Доход",E55,IF(B55="Расход",-E55,0))</x:f>
        <x:v>0</x:v>
      </x:c>
    </x:row>
    <x:row r="56" ht="23" customHeight="1">
      <x:c r="A56" s="54"/>
      <x:c r="B56" s="51"/>
      <x:c r="C56" s="51"/>
      <x:c r="D56" s="51"/>
      <x:c r="E56" s="55"/>
      <x:c r="F56" s="51"/>
      <x:c r="G56" s="51"/>
      <x:c r="H56" s="51"/>
      <x:c r="I56" s="51"/>
      <x:c r="J56" s="16" t="n">
        <x:f>IF(AND(I56="Да",B56="Доход"),E56,0)</x:f>
        <x:v>0</x:v>
      </x:c>
      <x:c r="K56" s="16" t="n">
        <x:f>IF(AND(I56="Да",B56="Расход"),E56,0)</x:f>
        <x:v>0</x:v>
      </x:c>
      <x:c r="L56" s="16" t="n">
        <x:f>IF(B56="Доход",E56,IF(B56="Расход",-E56,0))</x:f>
        <x:v>0</x:v>
      </x:c>
    </x:row>
    <x:row r="57" ht="23" customHeight="1">
      <x:c r="A57" s="54"/>
      <x:c r="B57" s="51"/>
      <x:c r="C57" s="51"/>
      <x:c r="D57" s="51"/>
      <x:c r="E57" s="55"/>
      <x:c r="F57" s="51"/>
      <x:c r="G57" s="51"/>
      <x:c r="H57" s="51"/>
      <x:c r="I57" s="51"/>
      <x:c r="J57" s="16" t="n">
        <x:f>IF(AND(I57="Да",B57="Доход"),E57,0)</x:f>
        <x:v>0</x:v>
      </x:c>
      <x:c r="K57" s="16" t="n">
        <x:f>IF(AND(I57="Да",B57="Расход"),E57,0)</x:f>
        <x:v>0</x:v>
      </x:c>
      <x:c r="L57" s="16" t="n">
        <x:f>IF(B57="Доход",E57,IF(B57="Расход",-E57,0))</x:f>
        <x:v>0</x:v>
      </x:c>
    </x:row>
    <x:row r="58" ht="23" customHeight="1">
      <x:c r="A58" s="54"/>
      <x:c r="B58" s="51"/>
      <x:c r="C58" s="51"/>
      <x:c r="D58" s="51"/>
      <x:c r="E58" s="55"/>
      <x:c r="F58" s="51"/>
      <x:c r="G58" s="51"/>
      <x:c r="H58" s="51"/>
      <x:c r="I58" s="51"/>
      <x:c r="J58" s="16" t="n">
        <x:f>IF(AND(I58="Да",B58="Доход"),E58,0)</x:f>
        <x:v>0</x:v>
      </x:c>
      <x:c r="K58" s="16" t="n">
        <x:f>IF(AND(I58="Да",B58="Расход"),E58,0)</x:f>
        <x:v>0</x:v>
      </x:c>
      <x:c r="L58" s="16" t="n">
        <x:f>IF(B58="Доход",E58,IF(B58="Расход",-E58,0))</x:f>
        <x:v>0</x:v>
      </x:c>
    </x:row>
    <x:row r="59" ht="23" customHeight="1">
      <x:c r="A59" s="54"/>
      <x:c r="B59" s="51"/>
      <x:c r="C59" s="51"/>
      <x:c r="D59" s="51"/>
      <x:c r="E59" s="55"/>
      <x:c r="F59" s="51"/>
      <x:c r="G59" s="51"/>
      <x:c r="H59" s="51"/>
      <x:c r="I59" s="51"/>
      <x:c r="J59" s="16" t="n">
        <x:f>IF(AND(I59="Да",B59="Доход"),E59,0)</x:f>
        <x:v>0</x:v>
      </x:c>
      <x:c r="K59" s="16" t="n">
        <x:f>IF(AND(I59="Да",B59="Расход"),E59,0)</x:f>
        <x:v>0</x:v>
      </x:c>
      <x:c r="L59" s="16" t="n">
        <x:f>IF(B59="Доход",E59,IF(B59="Расход",-E59,0))</x:f>
        <x:v>0</x:v>
      </x:c>
    </x:row>
    <x:row r="60" ht="23" customHeight="1">
      <x:c r="A60" s="54"/>
      <x:c r="B60" s="51"/>
      <x:c r="C60" s="51"/>
      <x:c r="D60" s="51"/>
      <x:c r="E60" s="55"/>
      <x:c r="F60" s="51"/>
      <x:c r="G60" s="51"/>
      <x:c r="H60" s="51"/>
      <x:c r="I60" s="51"/>
      <x:c r="J60" s="16" t="n">
        <x:f>IF(AND(I60="Да",B60="Доход"),E60,0)</x:f>
        <x:v>0</x:v>
      </x:c>
      <x:c r="K60" s="16" t="n">
        <x:f>IF(AND(I60="Да",B60="Расход"),E60,0)</x:f>
        <x:v>0</x:v>
      </x:c>
      <x:c r="L60" s="16" t="n">
        <x:f>IF(B60="Доход",E60,IF(B60="Расход",-E60,0))</x:f>
        <x:v>0</x:v>
      </x:c>
    </x:row>
    <x:row r="61" ht="23" customHeight="1">
      <x:c r="A61" s="54"/>
      <x:c r="B61" s="51"/>
      <x:c r="C61" s="51"/>
      <x:c r="D61" s="51"/>
      <x:c r="E61" s="55"/>
      <x:c r="F61" s="51"/>
      <x:c r="G61" s="51"/>
      <x:c r="H61" s="51"/>
      <x:c r="I61" s="51"/>
      <x:c r="J61" s="16" t="n">
        <x:f>IF(AND(I61="Да",B61="Доход"),E61,0)</x:f>
        <x:v>0</x:v>
      </x:c>
      <x:c r="K61" s="16" t="n">
        <x:f>IF(AND(I61="Да",B61="Расход"),E61,0)</x:f>
        <x:v>0</x:v>
      </x:c>
      <x:c r="L61" s="16" t="n">
        <x:f>IF(B61="Доход",E61,IF(B61="Расход",-E61,0))</x:f>
        <x:v>0</x:v>
      </x:c>
    </x:row>
    <x:row r="62" ht="23" customHeight="1">
      <x:c r="A62" s="54"/>
      <x:c r="B62" s="51"/>
      <x:c r="C62" s="51"/>
      <x:c r="D62" s="51"/>
      <x:c r="E62" s="55"/>
      <x:c r="F62" s="51"/>
      <x:c r="G62" s="51"/>
      <x:c r="H62" s="51"/>
      <x:c r="I62" s="51"/>
      <x:c r="J62" s="16" t="n">
        <x:f>IF(AND(I62="Да",B62="Доход"),E62,0)</x:f>
        <x:v>0</x:v>
      </x:c>
      <x:c r="K62" s="16" t="n">
        <x:f>IF(AND(I62="Да",B62="Расход"),E62,0)</x:f>
        <x:v>0</x:v>
      </x:c>
      <x:c r="L62" s="16" t="n">
        <x:f>IF(B62="Доход",E62,IF(B62="Расход",-E62,0))</x:f>
        <x:v>0</x:v>
      </x:c>
    </x:row>
    <x:row r="63" ht="23" customHeight="1">
      <x:c r="A63" s="54"/>
      <x:c r="B63" s="51"/>
      <x:c r="C63" s="51"/>
      <x:c r="D63" s="51"/>
      <x:c r="E63" s="55"/>
      <x:c r="F63" s="51"/>
      <x:c r="G63" s="51"/>
      <x:c r="H63" s="51"/>
      <x:c r="I63" s="51"/>
      <x:c r="J63" s="16" t="n">
        <x:f>IF(AND(I63="Да",B63="Доход"),E63,0)</x:f>
        <x:v>0</x:v>
      </x:c>
      <x:c r="K63" s="16" t="n">
        <x:f>IF(AND(I63="Да",B63="Расход"),E63,0)</x:f>
        <x:v>0</x:v>
      </x:c>
      <x:c r="L63" s="16" t="n">
        <x:f>IF(B63="Доход",E63,IF(B63="Расход",-E63,0))</x:f>
        <x:v>0</x:v>
      </x:c>
    </x:row>
    <x:row r="64" ht="23" customHeight="1">
      <x:c r="A64" s="54"/>
      <x:c r="B64" s="51"/>
      <x:c r="C64" s="51"/>
      <x:c r="D64" s="51"/>
      <x:c r="E64" s="55"/>
      <x:c r="F64" s="51"/>
      <x:c r="G64" s="51"/>
      <x:c r="H64" s="51"/>
      <x:c r="I64" s="51"/>
      <x:c r="J64" s="16" t="n">
        <x:f>IF(AND(I64="Да",B64="Доход"),E64,0)</x:f>
        <x:v>0</x:v>
      </x:c>
      <x:c r="K64" s="16" t="n">
        <x:f>IF(AND(I64="Да",B64="Расход"),E64,0)</x:f>
        <x:v>0</x:v>
      </x:c>
      <x:c r="L64" s="16" t="n">
        <x:f>IF(B64="Доход",E64,IF(B64="Расход",-E64,0))</x:f>
        <x:v>0</x:v>
      </x:c>
    </x:row>
    <x:row r="65" ht="23" customHeight="1">
      <x:c r="A65" s="54"/>
      <x:c r="B65" s="51"/>
      <x:c r="C65" s="51"/>
      <x:c r="D65" s="51"/>
      <x:c r="E65" s="55"/>
      <x:c r="F65" s="51"/>
      <x:c r="G65" s="51"/>
      <x:c r="H65" s="51"/>
      <x:c r="I65" s="51"/>
      <x:c r="J65" s="16" t="n">
        <x:f>IF(AND(I65="Да",B65="Доход"),E65,0)</x:f>
        <x:v>0</x:v>
      </x:c>
      <x:c r="K65" s="16" t="n">
        <x:f>IF(AND(I65="Да",B65="Расход"),E65,0)</x:f>
        <x:v>0</x:v>
      </x:c>
      <x:c r="L65" s="16" t="n">
        <x:f>IF(B65="Доход",E65,IF(B65="Расход",-E65,0))</x:f>
        <x:v>0</x:v>
      </x:c>
    </x:row>
    <x:row r="66" ht="23" customHeight="1">
      <x:c r="A66" s="54"/>
      <x:c r="B66" s="51"/>
      <x:c r="C66" s="51"/>
      <x:c r="D66" s="51"/>
      <x:c r="E66" s="55"/>
      <x:c r="F66" s="51"/>
      <x:c r="G66" s="51"/>
      <x:c r="H66" s="51"/>
      <x:c r="I66" s="51"/>
      <x:c r="J66" s="16" t="n">
        <x:f>IF(AND(I66="Да",B66="Доход"),E66,0)</x:f>
        <x:v>0</x:v>
      </x:c>
      <x:c r="K66" s="16" t="n">
        <x:f>IF(AND(I66="Да",B66="Расход"),E66,0)</x:f>
        <x:v>0</x:v>
      </x:c>
      <x:c r="L66" s="16" t="n">
        <x:f>IF(B66="Доход",E66,IF(B66="Расход",-E66,0))</x:f>
        <x:v>0</x:v>
      </x:c>
    </x:row>
    <x:row r="67" ht="23" customHeight="1">
      <x:c r="A67" s="54"/>
      <x:c r="B67" s="51"/>
      <x:c r="C67" s="51"/>
      <x:c r="D67" s="51"/>
      <x:c r="E67" s="55"/>
      <x:c r="F67" s="51"/>
      <x:c r="G67" s="51"/>
      <x:c r="H67" s="51"/>
      <x:c r="I67" s="51"/>
      <x:c r="J67" s="16" t="n">
        <x:f>IF(AND(I67="Да",B67="Доход"),E67,0)</x:f>
        <x:v>0</x:v>
      </x:c>
      <x:c r="K67" s="16" t="n">
        <x:f>IF(AND(I67="Да",B67="Расход"),E67,0)</x:f>
        <x:v>0</x:v>
      </x:c>
      <x:c r="L67" s="16" t="n">
        <x:f>IF(B67="Доход",E67,IF(B67="Расход",-E67,0))</x:f>
        <x:v>0</x:v>
      </x:c>
    </x:row>
    <x:row r="68" ht="23" customHeight="1">
      <x:c r="A68" s="54"/>
      <x:c r="B68" s="51"/>
      <x:c r="C68" s="51"/>
      <x:c r="D68" s="51"/>
      <x:c r="E68" s="55"/>
      <x:c r="F68" s="51"/>
      <x:c r="G68" s="51"/>
      <x:c r="H68" s="51"/>
      <x:c r="I68" s="51"/>
      <x:c r="J68" s="16" t="n">
        <x:f>IF(AND(I68="Да",B68="Доход"),E68,0)</x:f>
        <x:v>0</x:v>
      </x:c>
      <x:c r="K68" s="16" t="n">
        <x:f>IF(AND(I68="Да",B68="Расход"),E68,0)</x:f>
        <x:v>0</x:v>
      </x:c>
      <x:c r="L68" s="16" t="n">
        <x:f>IF(B68="Доход",E68,IF(B68="Расход",-E68,0))</x:f>
        <x:v>0</x:v>
      </x:c>
    </x:row>
    <x:row r="69" ht="23" customHeight="1">
      <x:c r="A69" s="54"/>
      <x:c r="B69" s="51"/>
      <x:c r="C69" s="51"/>
      <x:c r="D69" s="51"/>
      <x:c r="E69" s="55"/>
      <x:c r="F69" s="51"/>
      <x:c r="G69" s="51"/>
      <x:c r="H69" s="51"/>
      <x:c r="I69" s="51"/>
      <x:c r="J69" s="16" t="n">
        <x:f>IF(AND(I69="Да",B69="Доход"),E69,0)</x:f>
        <x:v>0</x:v>
      </x:c>
      <x:c r="K69" s="16" t="n">
        <x:f>IF(AND(I69="Да",B69="Расход"),E69,0)</x:f>
        <x:v>0</x:v>
      </x:c>
      <x:c r="L69" s="16" t="n">
        <x:f>IF(B69="Доход",E69,IF(B69="Расход",-E69,0))</x:f>
        <x:v>0</x:v>
      </x:c>
    </x:row>
    <x:row r="70" ht="23" customHeight="1">
      <x:c r="A70" s="54"/>
      <x:c r="B70" s="51"/>
      <x:c r="C70" s="51"/>
      <x:c r="D70" s="51"/>
      <x:c r="E70" s="55"/>
      <x:c r="F70" s="51"/>
      <x:c r="G70" s="51"/>
      <x:c r="H70" s="51"/>
      <x:c r="I70" s="51"/>
      <x:c r="J70" s="16" t="n">
        <x:f>IF(AND(I70="Да",B70="Доход"),E70,0)</x:f>
        <x:v>0</x:v>
      </x:c>
      <x:c r="K70" s="16" t="n">
        <x:f>IF(AND(I70="Да",B70="Расход"),E70,0)</x:f>
        <x:v>0</x:v>
      </x:c>
      <x:c r="L70" s="16" t="n">
        <x:f>IF(B70="Доход",E70,IF(B70="Расход",-E70,0))</x:f>
        <x:v>0</x:v>
      </x:c>
    </x:row>
    <x:row r="71" ht="23" customHeight="1">
      <x:c r="A71" s="54"/>
      <x:c r="B71" s="51"/>
      <x:c r="C71" s="51"/>
      <x:c r="D71" s="51"/>
      <x:c r="E71" s="55"/>
      <x:c r="F71" s="51"/>
      <x:c r="G71" s="51"/>
      <x:c r="H71" s="51"/>
      <x:c r="I71" s="51"/>
      <x:c r="J71" s="16" t="n">
        <x:f>IF(AND(I71="Да",B71="Доход"),E71,0)</x:f>
        <x:v>0</x:v>
      </x:c>
      <x:c r="K71" s="16" t="n">
        <x:f>IF(AND(I71="Да",B71="Расход"),E71,0)</x:f>
        <x:v>0</x:v>
      </x:c>
      <x:c r="L71" s="16" t="n">
        <x:f>IF(B71="Доход",E71,IF(B71="Расход",-E71,0))</x:f>
        <x:v>0</x:v>
      </x:c>
    </x:row>
    <x:row r="72" ht="23" customHeight="1">
      <x:c r="A72" s="54"/>
      <x:c r="B72" s="51"/>
      <x:c r="C72" s="51"/>
      <x:c r="D72" s="51"/>
      <x:c r="E72" s="55"/>
      <x:c r="F72" s="51"/>
      <x:c r="G72" s="51"/>
      <x:c r="H72" s="51"/>
      <x:c r="I72" s="51"/>
      <x:c r="J72" s="16" t="n">
        <x:f>IF(AND(I72="Да",B72="Доход"),E72,0)</x:f>
        <x:v>0</x:v>
      </x:c>
      <x:c r="K72" s="16" t="n">
        <x:f>IF(AND(I72="Да",B72="Расход"),E72,0)</x:f>
        <x:v>0</x:v>
      </x:c>
      <x:c r="L72" s="16" t="n">
        <x:f>IF(B72="Доход",E72,IF(B72="Расход",-E72,0))</x:f>
        <x:v>0</x:v>
      </x:c>
    </x:row>
    <x:row r="73" ht="23" customHeight="1">
      <x:c r="A73" s="54"/>
      <x:c r="B73" s="51"/>
      <x:c r="C73" s="51"/>
      <x:c r="D73" s="51"/>
      <x:c r="E73" s="55"/>
      <x:c r="F73" s="51"/>
      <x:c r="G73" s="51"/>
      <x:c r="H73" s="51"/>
      <x:c r="I73" s="51"/>
      <x:c r="J73" s="16" t="n">
        <x:f>IF(AND(I73="Да",B73="Доход"),E73,0)</x:f>
        <x:v>0</x:v>
      </x:c>
      <x:c r="K73" s="16" t="n">
        <x:f>IF(AND(I73="Да",B73="Расход"),E73,0)</x:f>
        <x:v>0</x:v>
      </x:c>
      <x:c r="L73" s="16" t="n">
        <x:f>IF(B73="Доход",E73,IF(B73="Расход",-E73,0))</x:f>
        <x:v>0</x:v>
      </x:c>
    </x:row>
    <x:row r="74" ht="23" customHeight="1">
      <x:c r="A74" s="54"/>
      <x:c r="B74" s="51"/>
      <x:c r="C74" s="51"/>
      <x:c r="D74" s="51"/>
      <x:c r="E74" s="55"/>
      <x:c r="F74" s="51"/>
      <x:c r="G74" s="51"/>
      <x:c r="H74" s="51"/>
      <x:c r="I74" s="51"/>
      <x:c r="J74" s="16" t="n">
        <x:f>IF(AND(I74="Да",B74="Доход"),E74,0)</x:f>
        <x:v>0</x:v>
      </x:c>
      <x:c r="K74" s="16" t="n">
        <x:f>IF(AND(I74="Да",B74="Расход"),E74,0)</x:f>
        <x:v>0</x:v>
      </x:c>
      <x:c r="L74" s="16" t="n">
        <x:f>IF(B74="Доход",E74,IF(B74="Расход",-E74,0))</x:f>
        <x:v>0</x:v>
      </x:c>
    </x:row>
    <x:row r="75" ht="23" customHeight="1">
      <x:c r="A75" s="54"/>
      <x:c r="B75" s="51"/>
      <x:c r="C75" s="51"/>
      <x:c r="D75" s="51"/>
      <x:c r="E75" s="55"/>
      <x:c r="F75" s="51"/>
      <x:c r="G75" s="51"/>
      <x:c r="H75" s="51"/>
      <x:c r="I75" s="51"/>
      <x:c r="J75" s="16" t="n">
        <x:f>IF(AND(I75="Да",B75="Доход"),E75,0)</x:f>
        <x:v>0</x:v>
      </x:c>
      <x:c r="K75" s="16" t="n">
        <x:f>IF(AND(I75="Да",B75="Расход"),E75,0)</x:f>
        <x:v>0</x:v>
      </x:c>
      <x:c r="L75" s="16" t="n">
        <x:f>IF(B75="Доход",E75,IF(B75="Расход",-E75,0))</x:f>
        <x:v>0</x:v>
      </x:c>
    </x:row>
    <x:row r="76" ht="23" customHeight="1">
      <x:c r="A76" s="54"/>
      <x:c r="B76" s="51"/>
      <x:c r="C76" s="51"/>
      <x:c r="D76" s="51"/>
      <x:c r="E76" s="55"/>
      <x:c r="F76" s="51"/>
      <x:c r="G76" s="51"/>
      <x:c r="H76" s="51"/>
      <x:c r="I76" s="51"/>
      <x:c r="J76" s="16" t="n">
        <x:f>IF(AND(I76="Да",B76="Доход"),E76,0)</x:f>
        <x:v>0</x:v>
      </x:c>
      <x:c r="K76" s="16" t="n">
        <x:f>IF(AND(I76="Да",B76="Расход"),E76,0)</x:f>
        <x:v>0</x:v>
      </x:c>
      <x:c r="L76" s="16" t="n">
        <x:f>IF(B76="Доход",E76,IF(B76="Расход",-E76,0))</x:f>
        <x:v>0</x:v>
      </x:c>
    </x:row>
    <x:row r="77" ht="23" customHeight="1">
      <x:c r="A77" s="54"/>
      <x:c r="B77" s="51"/>
      <x:c r="C77" s="51"/>
      <x:c r="D77" s="51"/>
      <x:c r="E77" s="55"/>
      <x:c r="F77" s="51"/>
      <x:c r="G77" s="51"/>
      <x:c r="H77" s="51"/>
      <x:c r="I77" s="51"/>
      <x:c r="J77" s="16" t="n">
        <x:f>IF(AND(I77="Да",B77="Доход"),E77,0)</x:f>
        <x:v>0</x:v>
      </x:c>
      <x:c r="K77" s="16" t="n">
        <x:f>IF(AND(I77="Да",B77="Расход"),E77,0)</x:f>
        <x:v>0</x:v>
      </x:c>
      <x:c r="L77" s="16" t="n">
        <x:f>IF(B77="Доход",E77,IF(B77="Расход",-E77,0))</x:f>
        <x:v>0</x:v>
      </x:c>
    </x:row>
    <x:row r="78" ht="23" customHeight="1">
      <x:c r="A78" s="54"/>
      <x:c r="B78" s="51"/>
      <x:c r="C78" s="51"/>
      <x:c r="D78" s="51"/>
      <x:c r="E78" s="55"/>
      <x:c r="F78" s="51"/>
      <x:c r="G78" s="51"/>
      <x:c r="H78" s="51"/>
      <x:c r="I78" s="51"/>
      <x:c r="J78" s="16" t="n">
        <x:f>IF(AND(I78="Да",B78="Доход"),E78,0)</x:f>
        <x:v>0</x:v>
      </x:c>
      <x:c r="K78" s="16" t="n">
        <x:f>IF(AND(I78="Да",B78="Расход"),E78,0)</x:f>
        <x:v>0</x:v>
      </x:c>
      <x:c r="L78" s="16" t="n">
        <x:f>IF(B78="Доход",E78,IF(B78="Расход",-E78,0))</x:f>
        <x:v>0</x:v>
      </x:c>
    </x:row>
    <x:row r="79" ht="23" customHeight="1">
      <x:c r="A79" s="54"/>
      <x:c r="B79" s="51"/>
      <x:c r="C79" s="51"/>
      <x:c r="D79" s="51"/>
      <x:c r="E79" s="55"/>
      <x:c r="F79" s="51"/>
      <x:c r="G79" s="51"/>
      <x:c r="H79" s="51"/>
      <x:c r="I79" s="51"/>
      <x:c r="J79" s="16" t="n">
        <x:f>IF(AND(I79="Да",B79="Доход"),E79,0)</x:f>
        <x:v>0</x:v>
      </x:c>
      <x:c r="K79" s="16" t="n">
        <x:f>IF(AND(I79="Да",B79="Расход"),E79,0)</x:f>
        <x:v>0</x:v>
      </x:c>
      <x:c r="L79" s="16" t="n">
        <x:f>IF(B79="Доход",E79,IF(B79="Расход",-E79,0))</x:f>
        <x:v>0</x:v>
      </x:c>
    </x:row>
    <x:row r="80" ht="23" customHeight="1">
      <x:c r="A80" s="54"/>
      <x:c r="B80" s="51"/>
      <x:c r="C80" s="51"/>
      <x:c r="D80" s="51"/>
      <x:c r="E80" s="55"/>
      <x:c r="F80" s="51"/>
      <x:c r="G80" s="51"/>
      <x:c r="H80" s="51"/>
      <x:c r="I80" s="51"/>
      <x:c r="J80" s="16" t="n">
        <x:f>IF(AND(I80="Да",B80="Доход"),E80,0)</x:f>
        <x:v>0</x:v>
      </x:c>
      <x:c r="K80" s="16" t="n">
        <x:f>IF(AND(I80="Да",B80="Расход"),E80,0)</x:f>
        <x:v>0</x:v>
      </x:c>
      <x:c r="L80" s="16" t="n">
        <x:f>IF(B80="Доход",E80,IF(B80="Расход",-E80,0))</x:f>
        <x:v>0</x:v>
      </x:c>
    </x:row>
    <x:row r="81" ht="23" customHeight="1">
      <x:c r="A81" s="54"/>
      <x:c r="B81" s="51"/>
      <x:c r="C81" s="51"/>
      <x:c r="D81" s="51"/>
      <x:c r="E81" s="55"/>
      <x:c r="F81" s="51"/>
      <x:c r="G81" s="51"/>
      <x:c r="H81" s="51"/>
      <x:c r="I81" s="51"/>
      <x:c r="J81" s="16" t="n">
        <x:f>IF(AND(I81="Да",B81="Доход"),E81,0)</x:f>
        <x:v>0</x:v>
      </x:c>
      <x:c r="K81" s="16" t="n">
        <x:f>IF(AND(I81="Да",B81="Расход"),E81,0)</x:f>
        <x:v>0</x:v>
      </x:c>
      <x:c r="L81" s="16" t="n">
        <x:f>IF(B81="Доход",E81,IF(B81="Расход",-E81,0))</x:f>
        <x:v>0</x:v>
      </x:c>
    </x:row>
    <x:row r="82" ht="23" customHeight="1">
      <x:c r="A82" s="54"/>
      <x:c r="B82" s="51"/>
      <x:c r="C82" s="51"/>
      <x:c r="D82" s="51"/>
      <x:c r="E82" s="55"/>
      <x:c r="F82" s="51"/>
      <x:c r="G82" s="51"/>
      <x:c r="H82" s="51"/>
      <x:c r="I82" s="51"/>
      <x:c r="J82" s="16" t="n">
        <x:f>IF(AND(I82="Да",B82="Доход"),E82,0)</x:f>
        <x:v>0</x:v>
      </x:c>
      <x:c r="K82" s="16" t="n">
        <x:f>IF(AND(I82="Да",B82="Расход"),E82,0)</x:f>
        <x:v>0</x:v>
      </x:c>
      <x:c r="L82" s="16" t="n">
        <x:f>IF(B82="Доход",E82,IF(B82="Расход",-E82,0))</x:f>
        <x:v>0</x:v>
      </x:c>
    </x:row>
    <x:row r="83" ht="23" customHeight="1">
      <x:c r="A83" s="54"/>
      <x:c r="B83" s="51"/>
      <x:c r="C83" s="51"/>
      <x:c r="D83" s="51"/>
      <x:c r="E83" s="55"/>
      <x:c r="F83" s="51"/>
      <x:c r="G83" s="51"/>
      <x:c r="H83" s="51"/>
      <x:c r="I83" s="51"/>
      <x:c r="J83" s="16" t="n">
        <x:f>IF(AND(I83="Да",B83="Доход"),E83,0)</x:f>
        <x:v>0</x:v>
      </x:c>
      <x:c r="K83" s="16" t="n">
        <x:f>IF(AND(I83="Да",B83="Расход"),E83,0)</x:f>
        <x:v>0</x:v>
      </x:c>
      <x:c r="L83" s="16" t="n">
        <x:f>IF(B83="Доход",E83,IF(B83="Расход",-E83,0))</x:f>
        <x:v>0</x:v>
      </x:c>
    </x:row>
    <x:row r="84" ht="23" customHeight="1">
      <x:c r="A84" s="54"/>
      <x:c r="B84" s="51"/>
      <x:c r="C84" s="51"/>
      <x:c r="D84" s="51"/>
      <x:c r="E84" s="55"/>
      <x:c r="F84" s="51"/>
      <x:c r="G84" s="51"/>
      <x:c r="H84" s="51"/>
      <x:c r="I84" s="51"/>
      <x:c r="J84" s="16" t="n">
        <x:f>IF(AND(I84="Да",B84="Доход"),E84,0)</x:f>
        <x:v>0</x:v>
      </x:c>
      <x:c r="K84" s="16" t="n">
        <x:f>IF(AND(I84="Да",B84="Расход"),E84,0)</x:f>
        <x:v>0</x:v>
      </x:c>
      <x:c r="L84" s="16" t="n">
        <x:f>IF(B84="Доход",E84,IF(B84="Расход",-E84,0))</x:f>
        <x:v>0</x:v>
      </x:c>
    </x:row>
    <x:row r="85" ht="23" customHeight="1">
      <x:c r="A85" s="54"/>
      <x:c r="B85" s="51"/>
      <x:c r="C85" s="51"/>
      <x:c r="D85" s="51"/>
      <x:c r="E85" s="55"/>
      <x:c r="F85" s="51"/>
      <x:c r="G85" s="51"/>
      <x:c r="H85" s="51"/>
      <x:c r="I85" s="51"/>
      <x:c r="J85" s="16" t="n">
        <x:f>IF(AND(I85="Да",B85="Доход"),E85,0)</x:f>
        <x:v>0</x:v>
      </x:c>
      <x:c r="K85" s="16" t="n">
        <x:f>IF(AND(I85="Да",B85="Расход"),E85,0)</x:f>
        <x:v>0</x:v>
      </x:c>
      <x:c r="L85" s="16" t="n">
        <x:f>IF(B85="Доход",E85,IF(B85="Расход",-E85,0))</x:f>
        <x:v>0</x:v>
      </x:c>
    </x:row>
    <x:row r="86" ht="23" customHeight="1">
      <x:c r="A86" s="54"/>
      <x:c r="B86" s="51"/>
      <x:c r="C86" s="51"/>
      <x:c r="D86" s="51"/>
      <x:c r="E86" s="55"/>
      <x:c r="F86" s="51"/>
      <x:c r="G86" s="51"/>
      <x:c r="H86" s="51"/>
      <x:c r="I86" s="51"/>
      <x:c r="J86" s="16" t="n">
        <x:f>IF(AND(I86="Да",B86="Доход"),E86,0)</x:f>
        <x:v>0</x:v>
      </x:c>
      <x:c r="K86" s="16" t="n">
        <x:f>IF(AND(I86="Да",B86="Расход"),E86,0)</x:f>
        <x:v>0</x:v>
      </x:c>
      <x:c r="L86" s="16" t="n">
        <x:f>IF(B86="Доход",E86,IF(B86="Расход",-E86,0))</x:f>
        <x:v>0</x:v>
      </x:c>
    </x:row>
    <x:row r="87" ht="23" customHeight="1">
      <x:c r="A87" s="54"/>
      <x:c r="B87" s="51"/>
      <x:c r="C87" s="51"/>
      <x:c r="D87" s="51"/>
      <x:c r="E87" s="55"/>
      <x:c r="F87" s="51"/>
      <x:c r="G87" s="51"/>
      <x:c r="H87" s="51"/>
      <x:c r="I87" s="51"/>
      <x:c r="J87" s="16" t="n">
        <x:f>IF(AND(I87="Да",B87="Доход"),E87,0)</x:f>
        <x:v>0</x:v>
      </x:c>
      <x:c r="K87" s="16" t="n">
        <x:f>IF(AND(I87="Да",B87="Расход"),E87,0)</x:f>
        <x:v>0</x:v>
      </x:c>
      <x:c r="L87" s="16" t="n">
        <x:f>IF(B87="Доход",E87,IF(B87="Расход",-E87,0))</x:f>
        <x:v>0</x:v>
      </x:c>
    </x:row>
    <x:row r="88" ht="23" customHeight="1">
      <x:c r="A88" s="54"/>
      <x:c r="B88" s="51"/>
      <x:c r="C88" s="51"/>
      <x:c r="D88" s="51"/>
      <x:c r="E88" s="55"/>
      <x:c r="F88" s="51"/>
      <x:c r="G88" s="51"/>
      <x:c r="H88" s="51"/>
      <x:c r="I88" s="51"/>
      <x:c r="J88" s="16" t="n">
        <x:f>IF(AND(I88="Да",B88="Доход"),E88,0)</x:f>
        <x:v>0</x:v>
      </x:c>
      <x:c r="K88" s="16" t="n">
        <x:f>IF(AND(I88="Да",B88="Расход"),E88,0)</x:f>
        <x:v>0</x:v>
      </x:c>
      <x:c r="L88" s="16" t="n">
        <x:f>IF(B88="Доход",E88,IF(B88="Расход",-E88,0))</x:f>
        <x:v>0</x:v>
      </x:c>
    </x:row>
    <x:row r="89" ht="23" customHeight="1">
      <x:c r="A89" s="54"/>
      <x:c r="B89" s="51"/>
      <x:c r="C89" s="51"/>
      <x:c r="D89" s="51"/>
      <x:c r="E89" s="55"/>
      <x:c r="F89" s="51"/>
      <x:c r="G89" s="51"/>
      <x:c r="H89" s="51"/>
      <x:c r="I89" s="51"/>
      <x:c r="J89" s="16" t="n">
        <x:f>IF(AND(I89="Да",B89="Доход"),E89,0)</x:f>
        <x:v>0</x:v>
      </x:c>
      <x:c r="K89" s="16" t="n">
        <x:f>IF(AND(I89="Да",B89="Расход"),E89,0)</x:f>
        <x:v>0</x:v>
      </x:c>
      <x:c r="L89" s="16" t="n">
        <x:f>IF(B89="Доход",E89,IF(B89="Расход",-E89,0))</x:f>
        <x:v>0</x:v>
      </x:c>
    </x:row>
    <x:row r="90" ht="23" customHeight="1">
      <x:c r="A90" s="54"/>
      <x:c r="B90" s="51"/>
      <x:c r="C90" s="51"/>
      <x:c r="D90" s="51"/>
      <x:c r="E90" s="55"/>
      <x:c r="F90" s="51"/>
      <x:c r="G90" s="51"/>
      <x:c r="H90" s="51"/>
      <x:c r="I90" s="51"/>
      <x:c r="J90" s="16" t="n">
        <x:f>IF(AND(I90="Да",B90="Доход"),E90,0)</x:f>
        <x:v>0</x:v>
      </x:c>
      <x:c r="K90" s="16" t="n">
        <x:f>IF(AND(I90="Да",B90="Расход"),E90,0)</x:f>
        <x:v>0</x:v>
      </x:c>
      <x:c r="L90" s="16" t="n">
        <x:f>IF(B90="Доход",E90,IF(B90="Расход",-E90,0))</x:f>
        <x:v>0</x:v>
      </x:c>
    </x:row>
    <x:row r="91" ht="23" customHeight="1">
      <x:c r="A91" s="54"/>
      <x:c r="B91" s="51"/>
      <x:c r="C91" s="51"/>
      <x:c r="D91" s="51"/>
      <x:c r="E91" s="55"/>
      <x:c r="F91" s="51"/>
      <x:c r="G91" s="51"/>
      <x:c r="H91" s="51"/>
      <x:c r="I91" s="51"/>
      <x:c r="J91" s="16" t="n">
        <x:f>IF(AND(I91="Да",B91="Доход"),E91,0)</x:f>
        <x:v>0</x:v>
      </x:c>
      <x:c r="K91" s="16" t="n">
        <x:f>IF(AND(I91="Да",B91="Расход"),E91,0)</x:f>
        <x:v>0</x:v>
      </x:c>
      <x:c r="L91" s="16" t="n">
        <x:f>IF(B91="Доход",E91,IF(B91="Расход",-E91,0))</x:f>
        <x:v>0</x:v>
      </x:c>
    </x:row>
    <x:row r="92" ht="23" customHeight="1">
      <x:c r="A92" s="54"/>
      <x:c r="B92" s="51"/>
      <x:c r="C92" s="51"/>
      <x:c r="D92" s="51"/>
      <x:c r="E92" s="55"/>
      <x:c r="F92" s="51"/>
      <x:c r="G92" s="51"/>
      <x:c r="H92" s="51"/>
      <x:c r="I92" s="51"/>
      <x:c r="J92" s="16" t="n">
        <x:f>IF(AND(I92="Да",B92="Доход"),E92,0)</x:f>
        <x:v>0</x:v>
      </x:c>
      <x:c r="K92" s="16" t="n">
        <x:f>IF(AND(I92="Да",B92="Расход"),E92,0)</x:f>
        <x:v>0</x:v>
      </x:c>
      <x:c r="L92" s="16" t="n">
        <x:f>IF(B92="Доход",E92,IF(B92="Расход",-E92,0))</x:f>
        <x:v>0</x:v>
      </x:c>
    </x:row>
    <x:row r="93" ht="23" customHeight="1">
      <x:c r="A93" s="54"/>
      <x:c r="B93" s="51"/>
      <x:c r="C93" s="51"/>
      <x:c r="D93" s="51"/>
      <x:c r="E93" s="55"/>
      <x:c r="F93" s="51"/>
      <x:c r="G93" s="51"/>
      <x:c r="H93" s="51"/>
      <x:c r="I93" s="51"/>
      <x:c r="J93" s="16" t="n">
        <x:f>IF(AND(I93="Да",B93="Доход"),E93,0)</x:f>
        <x:v>0</x:v>
      </x:c>
      <x:c r="K93" s="16" t="n">
        <x:f>IF(AND(I93="Да",B93="Расход"),E93,0)</x:f>
        <x:v>0</x:v>
      </x:c>
      <x:c r="L93" s="16" t="n">
        <x:f>IF(B93="Доход",E93,IF(B93="Расход",-E93,0))</x:f>
        <x:v>0</x:v>
      </x:c>
    </x:row>
    <x:row r="94" ht="23" customHeight="1">
      <x:c r="A94" s="54"/>
      <x:c r="B94" s="51"/>
      <x:c r="C94" s="51"/>
      <x:c r="D94" s="51"/>
      <x:c r="E94" s="55"/>
      <x:c r="F94" s="51"/>
      <x:c r="G94" s="51"/>
      <x:c r="H94" s="51"/>
      <x:c r="I94" s="51"/>
      <x:c r="J94" s="16" t="n">
        <x:f>IF(AND(I94="Да",B94="Доход"),E94,0)</x:f>
        <x:v>0</x:v>
      </x:c>
      <x:c r="K94" s="16" t="n">
        <x:f>IF(AND(I94="Да",B94="Расход"),E94,0)</x:f>
        <x:v>0</x:v>
      </x:c>
      <x:c r="L94" s="16" t="n">
        <x:f>IF(B94="Доход",E94,IF(B94="Расход",-E94,0))</x:f>
        <x:v>0</x:v>
      </x:c>
    </x:row>
    <x:row r="95" ht="23" customHeight="1">
      <x:c r="A95" s="54"/>
      <x:c r="B95" s="51"/>
      <x:c r="C95" s="51"/>
      <x:c r="D95" s="51"/>
      <x:c r="E95" s="55"/>
      <x:c r="F95" s="51"/>
      <x:c r="G95" s="51"/>
      <x:c r="H95" s="51"/>
      <x:c r="I95" s="51"/>
      <x:c r="J95" s="16" t="n">
        <x:f>IF(AND(I95="Да",B95="Доход"),E95,0)</x:f>
        <x:v>0</x:v>
      </x:c>
      <x:c r="K95" s="16" t="n">
        <x:f>IF(AND(I95="Да",B95="Расход"),E95,0)</x:f>
        <x:v>0</x:v>
      </x:c>
      <x:c r="L95" s="16" t="n">
        <x:f>IF(B95="Доход",E95,IF(B95="Расход",-E95,0))</x:f>
        <x:v>0</x:v>
      </x:c>
    </x:row>
    <x:row r="96" ht="23" customHeight="1">
      <x:c r="A96" s="54"/>
      <x:c r="B96" s="51"/>
      <x:c r="C96" s="51"/>
      <x:c r="D96" s="51"/>
      <x:c r="E96" s="55"/>
      <x:c r="F96" s="51"/>
      <x:c r="G96" s="51"/>
      <x:c r="H96" s="51"/>
      <x:c r="I96" s="51"/>
      <x:c r="J96" s="16" t="n">
        <x:f>IF(AND(I96="Да",B96="Доход"),E96,0)</x:f>
        <x:v>0</x:v>
      </x:c>
      <x:c r="K96" s="16" t="n">
        <x:f>IF(AND(I96="Да",B96="Расход"),E96,0)</x:f>
        <x:v>0</x:v>
      </x:c>
      <x:c r="L96" s="16" t="n">
        <x:f>IF(B96="Доход",E96,IF(B96="Расход",-E96,0))</x:f>
        <x:v>0</x:v>
      </x:c>
    </x:row>
    <x:row r="97" ht="23" customHeight="1">
      <x:c r="A97" s="54"/>
      <x:c r="B97" s="51"/>
      <x:c r="C97" s="51"/>
      <x:c r="D97" s="51"/>
      <x:c r="E97" s="55"/>
      <x:c r="F97" s="51"/>
      <x:c r="G97" s="51"/>
      <x:c r="H97" s="51"/>
      <x:c r="I97" s="51"/>
      <x:c r="J97" s="16" t="n">
        <x:f>IF(AND(I97="Да",B97="Доход"),E97,0)</x:f>
        <x:v>0</x:v>
      </x:c>
      <x:c r="K97" s="16" t="n">
        <x:f>IF(AND(I97="Да",B97="Расход"),E97,0)</x:f>
        <x:v>0</x:v>
      </x:c>
      <x:c r="L97" s="16" t="n">
        <x:f>IF(B97="Доход",E97,IF(B97="Расход",-E97,0))</x:f>
        <x:v>0</x:v>
      </x:c>
    </x:row>
    <x:row r="98" ht="23" customHeight="1">
      <x:c r="A98" s="54"/>
      <x:c r="B98" s="51"/>
      <x:c r="C98" s="51"/>
      <x:c r="D98" s="51"/>
      <x:c r="E98" s="55"/>
      <x:c r="F98" s="51"/>
      <x:c r="G98" s="51"/>
      <x:c r="H98" s="51"/>
      <x:c r="I98" s="51"/>
      <x:c r="J98" s="16" t="n">
        <x:f>IF(AND(I98="Да",B98="Доход"),E98,0)</x:f>
        <x:v>0</x:v>
      </x:c>
      <x:c r="K98" s="16" t="n">
        <x:f>IF(AND(I98="Да",B98="Расход"),E98,0)</x:f>
        <x:v>0</x:v>
      </x:c>
      <x:c r="L98" s="16" t="n">
        <x:f>IF(B98="Доход",E98,IF(B98="Расход",-E98,0))</x:f>
        <x:v>0</x:v>
      </x:c>
    </x:row>
    <x:row r="99" ht="23" customHeight="1">
      <x:c r="A99" s="54"/>
      <x:c r="B99" s="51"/>
      <x:c r="C99" s="51"/>
      <x:c r="D99" s="51"/>
      <x:c r="E99" s="55"/>
      <x:c r="F99" s="51"/>
      <x:c r="G99" s="51"/>
      <x:c r="H99" s="51"/>
      <x:c r="I99" s="51"/>
      <x:c r="J99" s="16" t="n">
        <x:f>IF(AND(I99="Да",B99="Доход"),E99,0)</x:f>
        <x:v>0</x:v>
      </x:c>
      <x:c r="K99" s="16" t="n">
        <x:f>IF(AND(I99="Да",B99="Расход"),E99,0)</x:f>
        <x:v>0</x:v>
      </x:c>
      <x:c r="L99" s="16" t="n">
        <x:f>IF(B99="Доход",E99,IF(B99="Расход",-E99,0))</x:f>
        <x:v>0</x:v>
      </x:c>
    </x:row>
    <x:row r="100" ht="23" customHeight="1">
      <x:c r="A100" s="54"/>
      <x:c r="B100" s="51"/>
      <x:c r="C100" s="51"/>
      <x:c r="D100" s="51"/>
      <x:c r="E100" s="55"/>
      <x:c r="F100" s="51"/>
      <x:c r="G100" s="51"/>
      <x:c r="H100" s="51"/>
      <x:c r="I100" s="51"/>
      <x:c r="J100" s="16" t="n">
        <x:f>IF(AND(I100="Да",B100="Доход"),E100,0)</x:f>
        <x:v>0</x:v>
      </x:c>
      <x:c r="K100" s="16" t="n">
        <x:f>IF(AND(I100="Да",B100="Расход"),E100,0)</x:f>
        <x:v>0</x:v>
      </x:c>
      <x:c r="L100" s="16" t="n">
        <x:f>IF(B100="Доход",E100,IF(B100="Расход",-E100,0))</x:f>
        <x:v>0</x:v>
      </x:c>
    </x:row>
    <x:row r="101" ht="23" customHeight="1">
      <x:c r="A101" s="54"/>
      <x:c r="B101" s="51"/>
      <x:c r="C101" s="51"/>
      <x:c r="D101" s="51"/>
      <x:c r="E101" s="55"/>
      <x:c r="F101" s="51"/>
      <x:c r="G101" s="51"/>
      <x:c r="H101" s="51"/>
      <x:c r="I101" s="51"/>
      <x:c r="J101" s="16" t="n">
        <x:f>IF(AND(I101="Да",B101="Доход"),E101,0)</x:f>
        <x:v>0</x:v>
      </x:c>
      <x:c r="K101" s="16" t="n">
        <x:f>IF(AND(I101="Да",B101="Расход"),E101,0)</x:f>
        <x:v>0</x:v>
      </x:c>
      <x:c r="L101" s="16" t="n">
        <x:f>IF(B101="Доход",E101,IF(B101="Расход",-E101,0))</x:f>
        <x:v>0</x:v>
      </x:c>
    </x:row>
    <x:row r="102" ht="23" customHeight="1">
      <x:c r="A102" s="54"/>
      <x:c r="B102" s="51"/>
      <x:c r="C102" s="51"/>
      <x:c r="D102" s="51"/>
      <x:c r="E102" s="55"/>
      <x:c r="F102" s="51"/>
      <x:c r="G102" s="51"/>
      <x:c r="H102" s="51"/>
      <x:c r="I102" s="51"/>
      <x:c r="J102" s="16" t="n">
        <x:f>IF(AND(I102="Да",B102="Доход"),E102,0)</x:f>
        <x:v>0</x:v>
      </x:c>
      <x:c r="K102" s="16" t="n">
        <x:f>IF(AND(I102="Да",B102="Расход"),E102,0)</x:f>
        <x:v>0</x:v>
      </x:c>
      <x:c r="L102" s="16" t="n">
        <x:f>IF(B102="Доход",E102,IF(B102="Расход",-E102,0))</x:f>
        <x:v>0</x:v>
      </x:c>
    </x:row>
    <x:row r="103" ht="23" customHeight="1">
      <x:c r="A103" s="54"/>
      <x:c r="B103" s="51"/>
      <x:c r="C103" s="51"/>
      <x:c r="D103" s="51"/>
      <x:c r="E103" s="55"/>
      <x:c r="F103" s="51"/>
      <x:c r="G103" s="51"/>
      <x:c r="H103" s="51"/>
      <x:c r="I103" s="51"/>
      <x:c r="J103" s="16" t="n">
        <x:f>IF(AND(I103="Да",B103="Доход"),E103,0)</x:f>
        <x:v>0</x:v>
      </x:c>
      <x:c r="K103" s="16" t="n">
        <x:f>IF(AND(I103="Да",B103="Расход"),E103,0)</x:f>
        <x:v>0</x:v>
      </x:c>
      <x:c r="L103" s="16" t="n">
        <x:f>IF(B103="Доход",E103,IF(B103="Расход",-E103,0))</x:f>
        <x:v>0</x:v>
      </x:c>
    </x:row>
    <x:row r="104" ht="23" customHeight="1">
      <x:c r="A104" s="54"/>
      <x:c r="B104" s="51"/>
      <x:c r="C104" s="51"/>
      <x:c r="D104" s="51"/>
      <x:c r="E104" s="55"/>
      <x:c r="F104" s="51"/>
      <x:c r="G104" s="51"/>
      <x:c r="H104" s="51"/>
      <x:c r="I104" s="51"/>
      <x:c r="J104" s="16" t="n">
        <x:f>IF(AND(I104="Да",B104="Доход"),E104,0)</x:f>
        <x:v>0</x:v>
      </x:c>
      <x:c r="K104" s="16" t="n">
        <x:f>IF(AND(I104="Да",B104="Расход"),E104,0)</x:f>
        <x:v>0</x:v>
      </x:c>
      <x:c r="L104" s="16" t="n">
        <x:f>IF(B104="Доход",E104,IF(B104="Расход",-E104,0))</x:f>
        <x:v>0</x:v>
      </x:c>
    </x:row>
  </x:sheetData>
  <x:sheetProtection sheet="1" objects="1" scenarios="1" autoFilter="0" sort="0" selectLockedCells="0" selectUnlockedCells="0"/>
  <x:mergeCells>
    <x:mergeCell ref="A1:L1"/>
    <x:mergeCell ref="A2:L2"/>
  </x:mergeCells>
  <x:dataValidations count="3">
    <x:dataValidation type="list" sqref="B5:B104">
      <x:formula1>"Доход,Расход"</x:formula1>
    </x:dataValidation>
    <x:dataValidation type="list" sqref="I5:I104">
      <x:formula1>"Да,Нет"</x:formula1>
    </x:dataValidation>
    <x:dataValidation type="list" sqref="C5:C104">
      <x:formula1>"Реклама,Постоянные,Прочее,Налоги,Закупка,Выплата Kaspi,Капитал"</x:formula1>
    </x:dataValidation>
  </x:dataValidations>
  <x:pageMargins left="0.7" right="0.7" top="0.75" bottom="0.75" header="0.3" footer="0.3"/>
  <x:tableParts count="1">
    <x:tablePart ns1:id="R53a4c2ae050c4ac8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34" customHeight="1">
      <x:c r="A1" s="2" t="str">
        <x:v>AutoHome  /  Настройки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Начало периода</x:v>
      </x:c>
      <x:c r="B4" s="56" t="n">
        <x:v>46023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 t="str">
        <x:v>Конец периода</x:v>
      </x:c>
      <x:c r="B5" s="56" t="n">
        <x:v>46329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1" t="str">
        <x:v>Сравнение: начало</x:v>
      </x:c>
      <x:c r="B6" s="56" t="n">
        <x:v>45658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 t="str">
        <x:v>Сравнение: конец</x:v>
      </x:c>
      <x:c r="B7" s="56" t="n">
        <x:v>45964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>
      <x:c r="A9" s="1" t="str">
        <x:v>Комиссию вводите фактически в ₸ по каждой позиции заказа.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sheetProtection sheet="1" objects="1" scenarios="1" autoFilter="0" sort="0" selectLockedCells="0" selectUnlockedCells="0"/>
  <x:mergeCells>
    <x:mergeCell ref="A1:L1"/>
    <x:mergeCell ref="A2:L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34" customHeight="1">
      <x:c r="A1" s="2" t="str">
        <x:v>AutoHome  /  Инструкция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1" t="str">
        <x:f>HYPERLINK("#'Дашборд'!A1","← Главная    •    AutoHome / Kaspi.kz")</x:f>
        <x:v>← Главная    •    AutoHome / Kaspi.kz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2" customHeight="1">
      <x:c r="A4" s="29" t="str">
        <x:v>1. Начните с «Товары»: уникальный SKU, название и статус. Затем заполните «Склад» и «Закупки».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2" customHeight="1">
      <x:c r="A5" s="29" t="str">
        <x:v>2. В «Заказы» одна строка — товарная позиция. Номер заказа может повторяться для разных SKU.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42" customHeight="1">
      <x:c r="A6" s="29" t="str">
        <x:v>3. Для одного номера дата и статус должны совпадать. Смешанные/частичные возвраты разделяйте на номера с суффиксом.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42" customHeight="1">
      <x:c r="A7" s="29" t="str">
        <x:v>4. Цена и скидка — на единицу; себестоимость — фактическая на единицу. Комиссия и остальные расходы — на всю строку в ₸.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42" customHeight="1">
      <x:c r="A8" s="29" t="str">
        <x:v>5. Выручка признаётся только при статусе «Выкуплен». Возврат полностью исключает выручку позиции.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42" customHeight="1">
      <x:c r="A9" s="29" t="str">
        <x:v>6. При возврате заполните фактически возвращённое на склад количество. Невозвращённый товар остаётся расходом.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42" customHeight="1">
      <x:c r="A10" s="29" t="str">
        <x:v>7. Комиссия, доставка, упаковка, реклама и прочее — фактические невозмещённые затраты, в том числе по отменам.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42" customHeight="1">
      <x:c r="A11" s="29" t="str">
        <x:v>8. «Деньги» — журнал кассы. «Да» в прибыли ставьте только для дополнительных доходов/расходов, не учтённых в заказах.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42" customHeight="1">
      <x:c r="A12" s="29" t="str">
        <x:v>9. Закупка товара, выплата выручки Kaspi, ввод капитала: «Нет». Себестоимость закупки признаётся через проданные единицы.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42" customHeight="1">
      <x:c r="A13" s="29" t="str">
        <x:v>10. Реклама в заказах и журнале не должна повторяться. Общие расходы не распределяются по товарам.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42" customHeight="1">
      <x:c r="A14" s="29" t="str">
        <x:v>11. Прибыль товара — после затрат строки, до общих расходов. Чистая прибыль магазина включает дополнительные расходы и доходы журнала.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42" customHeight="1">
      <x:c r="A15" s="29" t="str">
        <x:v>12. Склад показывает остаток за всё время, без фильтра периода. Списания склада отдельно вносите в журнал как расход, если не учтены в возвратах.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42" customHeight="1">
      <x:c r="A16" s="29" t="str">
        <x:v>13. Настройки: начало и конец периода и отдельный период сравнения. «Периоды» показывает 24 месяца до выбранной конечной даты.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42" customHeight="1">
      <x:c r="A17" s="29" t="str">
        <x:v>14. ABC: товар, пересекающий порог 80% или 95%, остаётся в предыдущем классе. Товар неделим.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42" customHeight="1">
      <x:c r="A18" s="29" t="str">
        <x:v>15. Добавляйте строки клавишей Tab в последней ячейке Excel-таблицы. Расчёты по структурированным ссылкам расширяются вместе с таблицами.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42" customHeight="1">
      <x:c r="A19" s="29" t="str">
        <x:v>16. ABC: расширьте таблицу вниз при количестве SKU более 100. ТОП-20 всегда берёт все строки таблицы товаров.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42" customHeight="1">
      <x:c r="A20" s="29" t="str">
        <x:v>17. Защита от случайных правок: расчётные листы защищены без пароля. Для расширения таблиц снимите защиту через «Рецензирование».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42" customHeight="1">
      <x:c r="A21" s="29" t="str">
        <x:v>18. Наценка = валовая прибыль / себестоимость; маржа = прибыль / выручка. При нулевом знаменателе показатель пустой.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42" customHeight="1">
      <x:c r="A22" s="29" t="str">
        <x:v>19. Безубыточность — плановый расчёт: введите постоянные затраты, цену и все переменные затраты на единицу.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42" customHeight="1">
      <x:c r="A23" s="29" t="str">
        <x:v>20. Изменение статуса корректирует исходный месяц заказа; это управленческий отчёт по текущим статусам, не журнал исторических закрытий.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42" customHeight="1">
      <x:c r="A24" s="29" t="str">
        <x:v>21. Excel имеет предел 1 048 576 строк на лист. Начальные строки пустые; таблицы расширяются в пределах Excel.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42" customHeight="1">
      <x:c r="A25" s="29" t="str">
        <x:v>22. Для сайта и Excel ведутся отдельные данные. На сайте сохраняйте резервную копию JSON; скачиваемая книга — пустой шаблон.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42" customHeight="1">
      <x:c r="A26" s="29" t="str">
        <x:v>23. Поддерживаются Excel 2019/2021/365. Откройте файл с автоматическим пересчётом. Проверка в установленном Microsoft Excel не проводилась.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42" customHeight="1">
      <x:c r="A27" s="29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 t="str">
        <x:v>КОНТРОЛЬ ВВОДА</x:v>
      </x:c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 t="str">
        <x:v>Заказы с SKU, но без даты / номера / статуса:</x:v>
      </x:c>
      <x:c r="B30" s="1" t="n">
        <x:f>COUNTIFS(Orders[SKU],"&lt;&gt;",Orders[Дата],0)+COUNTIFS(Orders[SKU],"&lt;&gt;",Orders[Номер],"")+COUNTIFS(Orders[SKU],"&lt;&gt;",Orders[Статус],"")</x:f>
        <x:v>0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sheetProtection sheet="1" objects="1" scenarios="1" autoFilter="0" sort="0" selectLockedCells="0" selectUnlockedCells="0"/>
  <x:mergeCells>
    <x:mergeCell ref="A1:L1"/>
    <x:mergeCell ref="A2:L2"/>
  </x:mergeCells>
  <x:pageMargins left="0.7" right="0.7" top="0.75" bottom="0.75" header="0.3" footer="0.3"/>
</x:worksheet>
</file>